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I:\KU-data\INV-investice\Libor Friedl\4_Depozitář Pouchov\4) Projektová dokumentace\DUR+DSP\PD\PROPOCET\"/>
    </mc:Choice>
  </mc:AlternateContent>
  <xr:revisionPtr revIDLastSave="0" documentId="13_ncr:1_{8F507F9A-1B49-470F-85D2-57CB230DE904}" xr6:coauthVersionLast="47" xr6:coauthVersionMax="47" xr10:uidLastSave="{00000000-0000-0000-0000-000000000000}"/>
  <bookViews>
    <workbookView xWindow="28680" yWindow="-120" windowWidth="29040" windowHeight="15840" tabRatio="916" activeTab="1" xr2:uid="{00000000-000D-0000-FFFF-FFFF00000000}"/>
  </bookViews>
  <sheets>
    <sheet name="KL" sheetId="27" r:id="rId1"/>
    <sheet name="OBJEKT 1" sheetId="20" r:id="rId2"/>
    <sheet name="OBJEKT 2" sheetId="23" r:id="rId3"/>
    <sheet name="OBJEKT 3" sheetId="24" r:id="rId4"/>
    <sheet name="OBJEKT 4" sheetId="25" r:id="rId5"/>
    <sheet name="PROPOČET - OST. NÁKLADY" sheetId="26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___________________obl11" localSheetId="5">#REF!</definedName>
    <definedName name="_____________________obl11">#REF!</definedName>
    <definedName name="_____________________obl12" localSheetId="5">#REF!</definedName>
    <definedName name="_____________________obl12">#REF!</definedName>
    <definedName name="_____________________obl13" localSheetId="5">#REF!</definedName>
    <definedName name="_____________________obl13">#REF!</definedName>
    <definedName name="_____________________obl14">#REF!</definedName>
    <definedName name="_____________________obl15">#REF!</definedName>
    <definedName name="_____________________obl16">#REF!</definedName>
    <definedName name="_____________________obl17">#REF!</definedName>
    <definedName name="_____________________obl1710">#REF!</definedName>
    <definedName name="_____________________obl1711">#REF!</definedName>
    <definedName name="_____________________obl1712">#REF!</definedName>
    <definedName name="_____________________obl1713">#REF!</definedName>
    <definedName name="_____________________obl1714">#REF!</definedName>
    <definedName name="_____________________obl1715">#REF!</definedName>
    <definedName name="_____________________obl1716">#REF!</definedName>
    <definedName name="_____________________obl1717">#REF!</definedName>
    <definedName name="_____________________obl1718">#REF!</definedName>
    <definedName name="_____________________obl1719">#REF!</definedName>
    <definedName name="_____________________obl173">#REF!</definedName>
    <definedName name="_____________________obl174">#REF!</definedName>
    <definedName name="_____________________obl175">#REF!</definedName>
    <definedName name="_____________________obl176">#REF!</definedName>
    <definedName name="_____________________obl177">#REF!</definedName>
    <definedName name="_____________________obl178">#REF!</definedName>
    <definedName name="_____________________obl179">#REF!</definedName>
    <definedName name="_____________________obl18">#REF!</definedName>
    <definedName name="_____________________obl181">#REF!</definedName>
    <definedName name="_____________________obl1816">#REF!</definedName>
    <definedName name="_____________________obl1820">#REF!</definedName>
    <definedName name="_____________________obl1821">#REF!</definedName>
    <definedName name="_____________________obl1822">#REF!</definedName>
    <definedName name="_____________________obl1823">#REF!</definedName>
    <definedName name="_____________________obl1824">#REF!</definedName>
    <definedName name="_____________________obl1825">#REF!</definedName>
    <definedName name="_____________________obl1826">#REF!</definedName>
    <definedName name="_____________________obl1827">#REF!</definedName>
    <definedName name="_____________________obl1828">#REF!</definedName>
    <definedName name="_____________________obl1829">#REF!</definedName>
    <definedName name="_____________________obl183">#REF!</definedName>
    <definedName name="_____________________obl1831">#REF!</definedName>
    <definedName name="_____________________obl1832">#REF!</definedName>
    <definedName name="_____________________obl184">#REF!</definedName>
    <definedName name="_____________________obl185">#REF!</definedName>
    <definedName name="_____________________obl186">#REF!</definedName>
    <definedName name="_____________________obl187">#REF!</definedName>
    <definedName name="___________________obl11">#REF!</definedName>
    <definedName name="___________________obl12">#REF!</definedName>
    <definedName name="___________________obl13">#REF!</definedName>
    <definedName name="___________________obl14">#REF!</definedName>
    <definedName name="___________________obl15">#REF!</definedName>
    <definedName name="___________________obl16">#REF!</definedName>
    <definedName name="___________________obl17">#REF!</definedName>
    <definedName name="___________________obl1710">#REF!</definedName>
    <definedName name="___________________obl1711">#REF!</definedName>
    <definedName name="___________________obl1712">#REF!</definedName>
    <definedName name="___________________obl1713">#REF!</definedName>
    <definedName name="___________________obl1714">#REF!</definedName>
    <definedName name="___________________obl1715">#REF!</definedName>
    <definedName name="___________________obl1716">#REF!</definedName>
    <definedName name="___________________obl1717">#REF!</definedName>
    <definedName name="___________________obl1718">#REF!</definedName>
    <definedName name="___________________obl1719">#REF!</definedName>
    <definedName name="___________________obl173">#REF!</definedName>
    <definedName name="___________________obl174">#REF!</definedName>
    <definedName name="___________________obl175">#REF!</definedName>
    <definedName name="___________________obl176">#REF!</definedName>
    <definedName name="___________________obl177">#REF!</definedName>
    <definedName name="___________________obl178">#REF!</definedName>
    <definedName name="___________________obl179">#REF!</definedName>
    <definedName name="___________________obl18">#REF!</definedName>
    <definedName name="___________________obl181">#REF!</definedName>
    <definedName name="___________________obl1816">#REF!</definedName>
    <definedName name="___________________obl1820">#REF!</definedName>
    <definedName name="___________________obl1821">#REF!</definedName>
    <definedName name="___________________obl1822">#REF!</definedName>
    <definedName name="___________________obl1823">#REF!</definedName>
    <definedName name="___________________obl1824">#REF!</definedName>
    <definedName name="___________________obl1825">#REF!</definedName>
    <definedName name="___________________obl1826">#REF!</definedName>
    <definedName name="___________________obl1827">#REF!</definedName>
    <definedName name="___________________obl1828">#REF!</definedName>
    <definedName name="___________________obl1829">#REF!</definedName>
    <definedName name="___________________obl183">#REF!</definedName>
    <definedName name="___________________obl1831">#REF!</definedName>
    <definedName name="___________________obl1832">#REF!</definedName>
    <definedName name="___________________obl184">#REF!</definedName>
    <definedName name="___________________obl185">#REF!</definedName>
    <definedName name="___________________obl186">#REF!</definedName>
    <definedName name="___________________obl187">#REF!</definedName>
    <definedName name="__________________obl11">#REF!</definedName>
    <definedName name="__________________obl12">#REF!</definedName>
    <definedName name="__________________obl13">#REF!</definedName>
    <definedName name="__________________obl14">#REF!</definedName>
    <definedName name="__________________obl15">#REF!</definedName>
    <definedName name="__________________obl16">#REF!</definedName>
    <definedName name="__________________obl17">#REF!</definedName>
    <definedName name="__________________obl1710">#REF!</definedName>
    <definedName name="__________________obl1711">#REF!</definedName>
    <definedName name="__________________obl1712">#REF!</definedName>
    <definedName name="__________________obl1713">#REF!</definedName>
    <definedName name="__________________obl1714">#REF!</definedName>
    <definedName name="__________________obl1715">#REF!</definedName>
    <definedName name="__________________obl1716">#REF!</definedName>
    <definedName name="__________________obl1717">#REF!</definedName>
    <definedName name="__________________obl1718">#REF!</definedName>
    <definedName name="__________________obl1719">#REF!</definedName>
    <definedName name="__________________obl173">#REF!</definedName>
    <definedName name="__________________obl174">#REF!</definedName>
    <definedName name="__________________obl175">#REF!</definedName>
    <definedName name="__________________obl176">#REF!</definedName>
    <definedName name="__________________obl177">#REF!</definedName>
    <definedName name="__________________obl178">#REF!</definedName>
    <definedName name="__________________obl179">#REF!</definedName>
    <definedName name="__________________obl18">#REF!</definedName>
    <definedName name="__________________obl181">#REF!</definedName>
    <definedName name="__________________obl1816">#REF!</definedName>
    <definedName name="__________________obl1820">#REF!</definedName>
    <definedName name="__________________obl1821">#REF!</definedName>
    <definedName name="__________________obl1822">#REF!</definedName>
    <definedName name="__________________obl1823">#REF!</definedName>
    <definedName name="__________________obl1824">#REF!</definedName>
    <definedName name="__________________obl1825">#REF!</definedName>
    <definedName name="__________________obl1826">#REF!</definedName>
    <definedName name="__________________obl1827">#REF!</definedName>
    <definedName name="__________________obl1828">#REF!</definedName>
    <definedName name="__________________obl1829">#REF!</definedName>
    <definedName name="__________________obl183">#REF!</definedName>
    <definedName name="__________________obl1831">#REF!</definedName>
    <definedName name="__________________obl1832">#REF!</definedName>
    <definedName name="__________________obl184">#REF!</definedName>
    <definedName name="__________________obl185">#REF!</definedName>
    <definedName name="__________________obl186">#REF!</definedName>
    <definedName name="__________________obl187">#REF!</definedName>
    <definedName name="_________________obl11">#REF!</definedName>
    <definedName name="_________________obl12">#REF!</definedName>
    <definedName name="_________________obl13">#REF!</definedName>
    <definedName name="_________________obl14">#REF!</definedName>
    <definedName name="_________________obl15">#REF!</definedName>
    <definedName name="_________________obl16">#REF!</definedName>
    <definedName name="_________________obl17">#REF!</definedName>
    <definedName name="_________________obl1710">#REF!</definedName>
    <definedName name="_________________obl1711">#REF!</definedName>
    <definedName name="_________________obl1712">#REF!</definedName>
    <definedName name="_________________obl1713">#REF!</definedName>
    <definedName name="_________________obl1714">#REF!</definedName>
    <definedName name="_________________obl1715">#REF!</definedName>
    <definedName name="_________________obl1716">#REF!</definedName>
    <definedName name="_________________obl1717">#REF!</definedName>
    <definedName name="_________________obl1718">#REF!</definedName>
    <definedName name="_________________obl1719">#REF!</definedName>
    <definedName name="_________________obl173">#REF!</definedName>
    <definedName name="_________________obl174">#REF!</definedName>
    <definedName name="_________________obl175">#REF!</definedName>
    <definedName name="_________________obl176">#REF!</definedName>
    <definedName name="_________________obl177">#REF!</definedName>
    <definedName name="_________________obl178">#REF!</definedName>
    <definedName name="_________________obl179">#REF!</definedName>
    <definedName name="_________________obl18">#REF!</definedName>
    <definedName name="_________________obl181">#REF!</definedName>
    <definedName name="_________________obl1816">#REF!</definedName>
    <definedName name="_________________obl1820">#REF!</definedName>
    <definedName name="_________________obl1821">#REF!</definedName>
    <definedName name="_________________obl1822">#REF!</definedName>
    <definedName name="_________________obl1823">#REF!</definedName>
    <definedName name="_________________obl1824">#REF!</definedName>
    <definedName name="_________________obl1825">#REF!</definedName>
    <definedName name="_________________obl1826">#REF!</definedName>
    <definedName name="_________________obl1827">#REF!</definedName>
    <definedName name="_________________obl1828">#REF!</definedName>
    <definedName name="_________________obl1829">#REF!</definedName>
    <definedName name="_________________obl183">#REF!</definedName>
    <definedName name="_________________obl1831">#REF!</definedName>
    <definedName name="_________________obl1832">#REF!</definedName>
    <definedName name="_________________obl184">#REF!</definedName>
    <definedName name="_________________obl185">#REF!</definedName>
    <definedName name="_________________obl186">#REF!</definedName>
    <definedName name="_________________obl187">#REF!</definedName>
    <definedName name="________________obl11">#REF!</definedName>
    <definedName name="________________obl12">#REF!</definedName>
    <definedName name="________________obl13">#REF!</definedName>
    <definedName name="________________obl14">#REF!</definedName>
    <definedName name="________________obl15">#REF!</definedName>
    <definedName name="________________obl16">#REF!</definedName>
    <definedName name="________________obl17">#REF!</definedName>
    <definedName name="________________obl1710">#REF!</definedName>
    <definedName name="________________obl1711">#REF!</definedName>
    <definedName name="________________obl1712">#REF!</definedName>
    <definedName name="________________obl1713">#REF!</definedName>
    <definedName name="________________obl1714">#REF!</definedName>
    <definedName name="________________obl1715">#REF!</definedName>
    <definedName name="________________obl1716">#REF!</definedName>
    <definedName name="________________obl1717">#REF!</definedName>
    <definedName name="________________obl1718">#REF!</definedName>
    <definedName name="________________obl1719">#REF!</definedName>
    <definedName name="________________obl173">#REF!</definedName>
    <definedName name="________________obl174">#REF!</definedName>
    <definedName name="________________obl175">#REF!</definedName>
    <definedName name="________________obl176">#REF!</definedName>
    <definedName name="________________obl177">#REF!</definedName>
    <definedName name="________________obl178">#REF!</definedName>
    <definedName name="________________obl179">#REF!</definedName>
    <definedName name="________________obl18">#REF!</definedName>
    <definedName name="________________obl181">#REF!</definedName>
    <definedName name="________________obl1816">#REF!</definedName>
    <definedName name="________________obl1820">#REF!</definedName>
    <definedName name="________________obl1821">#REF!</definedName>
    <definedName name="________________obl1822">#REF!</definedName>
    <definedName name="________________obl1823">#REF!</definedName>
    <definedName name="________________obl1824">#REF!</definedName>
    <definedName name="________________obl1825">#REF!</definedName>
    <definedName name="________________obl1826">#REF!</definedName>
    <definedName name="________________obl1827">#REF!</definedName>
    <definedName name="________________obl1828">#REF!</definedName>
    <definedName name="________________obl1829">#REF!</definedName>
    <definedName name="________________obl183">#REF!</definedName>
    <definedName name="________________obl1831">#REF!</definedName>
    <definedName name="________________obl1832">#REF!</definedName>
    <definedName name="________________obl184">#REF!</definedName>
    <definedName name="________________obl185">#REF!</definedName>
    <definedName name="________________obl186">#REF!</definedName>
    <definedName name="________________obl187">#REF!</definedName>
    <definedName name="_______________obl11">#REF!</definedName>
    <definedName name="_______________obl13">#REF!</definedName>
    <definedName name="_______________obl14">#REF!</definedName>
    <definedName name="_______________obl15">#REF!</definedName>
    <definedName name="_______________obl16">#REF!</definedName>
    <definedName name="_______________obl17">#REF!</definedName>
    <definedName name="_______________obl1710">#REF!</definedName>
    <definedName name="_______________obl1711">#REF!</definedName>
    <definedName name="_______________obl1712">#REF!</definedName>
    <definedName name="_______________obl1713">#REF!</definedName>
    <definedName name="_______________obl1714">#REF!</definedName>
    <definedName name="_______________obl1718">#REF!</definedName>
    <definedName name="_______________obl1719">#REF!</definedName>
    <definedName name="_______________obl173">#REF!</definedName>
    <definedName name="_______________obl174">#REF!</definedName>
    <definedName name="_______________obl175">#REF!</definedName>
    <definedName name="_______________obl176">#REF!</definedName>
    <definedName name="_______________obl177">#REF!</definedName>
    <definedName name="_______________obl178">#REF!</definedName>
    <definedName name="_______________obl179">#REF!</definedName>
    <definedName name="_______________obl18">#REF!</definedName>
    <definedName name="_______________obl1816">#REF!</definedName>
    <definedName name="_______________obl1820">#REF!</definedName>
    <definedName name="_______________obl1821">#REF!</definedName>
    <definedName name="_______________obl1822">#REF!</definedName>
    <definedName name="_______________obl1823">#REF!</definedName>
    <definedName name="_______________obl1824">#REF!</definedName>
    <definedName name="_______________obl1825">#REF!</definedName>
    <definedName name="_______________obl1826">#REF!</definedName>
    <definedName name="_______________obl1827">#REF!</definedName>
    <definedName name="_______________obl1828">#REF!</definedName>
    <definedName name="_______________obl1829">#REF!</definedName>
    <definedName name="_______________obl183">#REF!</definedName>
    <definedName name="_______________obl1831">#REF!</definedName>
    <definedName name="_______________obl1832">#REF!</definedName>
    <definedName name="_______________obl184">#REF!</definedName>
    <definedName name="_______________obl185">#REF!</definedName>
    <definedName name="_______________obl186">#REF!</definedName>
    <definedName name="_______________obl187">#REF!</definedName>
    <definedName name="______________obl11">#REF!</definedName>
    <definedName name="______________obl12">#REF!</definedName>
    <definedName name="______________obl13">#REF!</definedName>
    <definedName name="______________obl14">#REF!</definedName>
    <definedName name="______________obl15">#REF!</definedName>
    <definedName name="______________obl16">#REF!</definedName>
    <definedName name="______________obl17">#REF!</definedName>
    <definedName name="______________obl1710">#REF!</definedName>
    <definedName name="______________obl1711">#REF!</definedName>
    <definedName name="______________obl1712">#REF!</definedName>
    <definedName name="______________obl1713">#REF!</definedName>
    <definedName name="______________obl1714">#REF!</definedName>
    <definedName name="______________obl1715">#REF!</definedName>
    <definedName name="______________obl1716">#REF!</definedName>
    <definedName name="______________obl1717">#REF!</definedName>
    <definedName name="______________obl1718">#REF!</definedName>
    <definedName name="______________obl1719">#REF!</definedName>
    <definedName name="______________obl173">#REF!</definedName>
    <definedName name="______________obl174">#REF!</definedName>
    <definedName name="______________obl175">#REF!</definedName>
    <definedName name="______________obl176">#REF!</definedName>
    <definedName name="______________obl177">#REF!</definedName>
    <definedName name="______________obl178">#REF!</definedName>
    <definedName name="______________obl179">#REF!</definedName>
    <definedName name="______________obl18">#REF!</definedName>
    <definedName name="______________obl181">#REF!</definedName>
    <definedName name="______________obl1816">#REF!</definedName>
    <definedName name="______________obl1820">#REF!</definedName>
    <definedName name="______________obl1821">#REF!</definedName>
    <definedName name="______________obl1822">#REF!</definedName>
    <definedName name="______________obl1823">#REF!</definedName>
    <definedName name="______________obl1824">#REF!</definedName>
    <definedName name="______________obl1825">#REF!</definedName>
    <definedName name="______________obl1826">#REF!</definedName>
    <definedName name="______________obl1827">#REF!</definedName>
    <definedName name="______________obl1828">#REF!</definedName>
    <definedName name="______________obl1829">#REF!</definedName>
    <definedName name="______________obl183">#REF!</definedName>
    <definedName name="______________obl1831">#REF!</definedName>
    <definedName name="______________obl1832">#REF!</definedName>
    <definedName name="______________obl184">#REF!</definedName>
    <definedName name="______________obl185">#REF!</definedName>
    <definedName name="______________obl186">#REF!</definedName>
    <definedName name="______________obl187">#REF!</definedName>
    <definedName name="_____________obl11">#REF!</definedName>
    <definedName name="_____________obl12">#REF!</definedName>
    <definedName name="_____________obl13">#REF!</definedName>
    <definedName name="_____________obl14">#REF!</definedName>
    <definedName name="_____________obl15">#REF!</definedName>
    <definedName name="_____________obl16">#REF!</definedName>
    <definedName name="_____________obl17">#REF!</definedName>
    <definedName name="_____________obl1710">#REF!</definedName>
    <definedName name="_____________obl1711">#REF!</definedName>
    <definedName name="_____________obl1712">#REF!</definedName>
    <definedName name="_____________obl1713">#REF!</definedName>
    <definedName name="_____________obl1714">#REF!</definedName>
    <definedName name="_____________obl1715">#REF!</definedName>
    <definedName name="_____________obl1716">#REF!</definedName>
    <definedName name="_____________obl1717">#REF!</definedName>
    <definedName name="_____________obl1718">#REF!</definedName>
    <definedName name="_____________obl1719">#REF!</definedName>
    <definedName name="_____________obl173">#REF!</definedName>
    <definedName name="_____________obl174">#REF!</definedName>
    <definedName name="_____________obl175">#REF!</definedName>
    <definedName name="_____________obl176">#REF!</definedName>
    <definedName name="_____________obl177">#REF!</definedName>
    <definedName name="_____________obl178">#REF!</definedName>
    <definedName name="_____________obl179">#REF!</definedName>
    <definedName name="_____________obl18">#REF!</definedName>
    <definedName name="_____________obl181">#REF!</definedName>
    <definedName name="_____________obl1816">#REF!</definedName>
    <definedName name="_____________obl1820">#REF!</definedName>
    <definedName name="_____________obl1821">#REF!</definedName>
    <definedName name="_____________obl1822">#REF!</definedName>
    <definedName name="_____________obl1823">#REF!</definedName>
    <definedName name="_____________obl1824">#REF!</definedName>
    <definedName name="_____________obl1825">#REF!</definedName>
    <definedName name="_____________obl1826">#REF!</definedName>
    <definedName name="_____________obl1827">#REF!</definedName>
    <definedName name="_____________obl1828">#REF!</definedName>
    <definedName name="_____________obl1829">#REF!</definedName>
    <definedName name="_____________obl183">#REF!</definedName>
    <definedName name="_____________obl1831">#REF!</definedName>
    <definedName name="_____________obl1832">#REF!</definedName>
    <definedName name="_____________obl184">#REF!</definedName>
    <definedName name="_____________obl185">#REF!</definedName>
    <definedName name="_____________obl186">#REF!</definedName>
    <definedName name="_____________obl187">#REF!</definedName>
    <definedName name="____________obl11">#REF!</definedName>
    <definedName name="____________obl12">#REF!</definedName>
    <definedName name="____________obl13">#REF!</definedName>
    <definedName name="____________obl14">#REF!</definedName>
    <definedName name="____________obl15">#REF!</definedName>
    <definedName name="____________obl16">#REF!</definedName>
    <definedName name="____________obl17">#REF!</definedName>
    <definedName name="____________obl1710">#REF!</definedName>
    <definedName name="____________obl1711">#REF!</definedName>
    <definedName name="____________obl1712">#REF!</definedName>
    <definedName name="____________obl1713">#REF!</definedName>
    <definedName name="____________obl1714">#REF!</definedName>
    <definedName name="____________obl1715">#REF!</definedName>
    <definedName name="____________obl1716">#REF!</definedName>
    <definedName name="____________obl1717">#REF!</definedName>
    <definedName name="____________obl1718">#REF!</definedName>
    <definedName name="____________obl1719">#REF!</definedName>
    <definedName name="____________obl173">#REF!</definedName>
    <definedName name="____________obl174">#REF!</definedName>
    <definedName name="____________obl175">#REF!</definedName>
    <definedName name="____________obl176">#REF!</definedName>
    <definedName name="____________obl177">#REF!</definedName>
    <definedName name="____________obl178">#REF!</definedName>
    <definedName name="____________obl179">#REF!</definedName>
    <definedName name="____________obl18">#REF!</definedName>
    <definedName name="____________obl181">#REF!</definedName>
    <definedName name="____________obl1816">#REF!</definedName>
    <definedName name="____________obl1820">#REF!</definedName>
    <definedName name="____________obl1821">#REF!</definedName>
    <definedName name="____________obl1822">#REF!</definedName>
    <definedName name="____________obl1823">#REF!</definedName>
    <definedName name="____________obl1824">#REF!</definedName>
    <definedName name="____________obl1825">#REF!</definedName>
    <definedName name="____________obl1826">#REF!</definedName>
    <definedName name="____________obl1827">#REF!</definedName>
    <definedName name="____________obl1828">#REF!</definedName>
    <definedName name="____________obl1829">#REF!</definedName>
    <definedName name="____________obl183">#REF!</definedName>
    <definedName name="____________obl1831">#REF!</definedName>
    <definedName name="____________obl1832">#REF!</definedName>
    <definedName name="____________obl184">#REF!</definedName>
    <definedName name="____________obl185">#REF!</definedName>
    <definedName name="____________obl186">#REF!</definedName>
    <definedName name="____________obl187">#REF!</definedName>
    <definedName name="___________obl11">#REF!</definedName>
    <definedName name="___________obl12">#REF!</definedName>
    <definedName name="___________obl13">#REF!</definedName>
    <definedName name="___________obl14">#REF!</definedName>
    <definedName name="___________obl15">#REF!</definedName>
    <definedName name="___________obl16">#REF!</definedName>
    <definedName name="___________obl17">#REF!</definedName>
    <definedName name="___________obl1710">#REF!</definedName>
    <definedName name="___________obl1711">#REF!</definedName>
    <definedName name="___________obl1712">#REF!</definedName>
    <definedName name="___________obl1713">#REF!</definedName>
    <definedName name="___________obl1714">#REF!</definedName>
    <definedName name="___________obl1715">#REF!</definedName>
    <definedName name="___________obl1716">#REF!</definedName>
    <definedName name="___________obl1717">#REF!</definedName>
    <definedName name="___________obl1718">#REF!</definedName>
    <definedName name="___________obl1719">#REF!</definedName>
    <definedName name="___________obl173">#REF!</definedName>
    <definedName name="___________obl174">#REF!</definedName>
    <definedName name="___________obl175">#REF!</definedName>
    <definedName name="___________obl176">#REF!</definedName>
    <definedName name="___________obl177">#REF!</definedName>
    <definedName name="___________obl178">#REF!</definedName>
    <definedName name="___________obl179">#REF!</definedName>
    <definedName name="___________obl18">#REF!</definedName>
    <definedName name="___________obl181">#REF!</definedName>
    <definedName name="___________obl1816">#REF!</definedName>
    <definedName name="___________obl1820">#REF!</definedName>
    <definedName name="___________obl1821">#REF!</definedName>
    <definedName name="___________obl1822">#REF!</definedName>
    <definedName name="___________obl1823">#REF!</definedName>
    <definedName name="___________obl1824">#REF!</definedName>
    <definedName name="___________obl1825">#REF!</definedName>
    <definedName name="___________obl1826">#REF!</definedName>
    <definedName name="___________obl1827">#REF!</definedName>
    <definedName name="___________obl1828">#REF!</definedName>
    <definedName name="___________obl1829">#REF!</definedName>
    <definedName name="___________obl183">#REF!</definedName>
    <definedName name="___________obl1831">#REF!</definedName>
    <definedName name="___________obl1832">#REF!</definedName>
    <definedName name="___________obl184">#REF!</definedName>
    <definedName name="___________obl185">#REF!</definedName>
    <definedName name="___________obl186">#REF!</definedName>
    <definedName name="___________obl187">#REF!</definedName>
    <definedName name="__________obl11">#REF!</definedName>
    <definedName name="__________obl12">#REF!</definedName>
    <definedName name="__________obl13">#REF!</definedName>
    <definedName name="__________obl14">#REF!</definedName>
    <definedName name="__________obl15">#REF!</definedName>
    <definedName name="__________obl16">#REF!</definedName>
    <definedName name="__________obl17">#REF!</definedName>
    <definedName name="__________obl1710">#REF!</definedName>
    <definedName name="__________obl1711">#REF!</definedName>
    <definedName name="__________obl1712">#REF!</definedName>
    <definedName name="__________obl1713">#REF!</definedName>
    <definedName name="__________obl1714">#REF!</definedName>
    <definedName name="__________obl1715">#REF!</definedName>
    <definedName name="__________obl1716">#REF!</definedName>
    <definedName name="__________obl1717">#REF!</definedName>
    <definedName name="__________obl1718">#REF!</definedName>
    <definedName name="__________obl1719">#REF!</definedName>
    <definedName name="__________obl173">#REF!</definedName>
    <definedName name="__________obl174">#REF!</definedName>
    <definedName name="__________obl175">#REF!</definedName>
    <definedName name="__________obl176">#REF!</definedName>
    <definedName name="__________obl177">#REF!</definedName>
    <definedName name="__________obl178">#REF!</definedName>
    <definedName name="__________obl179">#REF!</definedName>
    <definedName name="__________obl18">#REF!</definedName>
    <definedName name="__________obl181">#REF!</definedName>
    <definedName name="__________obl1816">#REF!</definedName>
    <definedName name="__________obl1820">#REF!</definedName>
    <definedName name="__________obl1821">#REF!</definedName>
    <definedName name="__________obl1822">#REF!</definedName>
    <definedName name="__________obl1823">#REF!</definedName>
    <definedName name="__________obl1824">#REF!</definedName>
    <definedName name="__________obl1825">#REF!</definedName>
    <definedName name="__________obl1826">#REF!</definedName>
    <definedName name="__________obl1827">#REF!</definedName>
    <definedName name="__________obl1828">#REF!</definedName>
    <definedName name="__________obl1829">#REF!</definedName>
    <definedName name="__________obl183">#REF!</definedName>
    <definedName name="__________obl1831">#REF!</definedName>
    <definedName name="__________obl1832">#REF!</definedName>
    <definedName name="__________obl184">#REF!</definedName>
    <definedName name="__________obl185">#REF!</definedName>
    <definedName name="__________obl186">#REF!</definedName>
    <definedName name="__________obl187">#REF!</definedName>
    <definedName name="_________obl11">#REF!</definedName>
    <definedName name="_________obl12">#REF!</definedName>
    <definedName name="_________obl13">#REF!</definedName>
    <definedName name="_________obl14">#REF!</definedName>
    <definedName name="_________obl15">#REF!</definedName>
    <definedName name="_________obl16">#REF!</definedName>
    <definedName name="_________obl17">#REF!</definedName>
    <definedName name="_________obl1710">#REF!</definedName>
    <definedName name="_________obl1711">#REF!</definedName>
    <definedName name="_________obl1712">#REF!</definedName>
    <definedName name="_________obl1713">#REF!</definedName>
    <definedName name="_________obl1714">#REF!</definedName>
    <definedName name="_________obl1715">#REF!</definedName>
    <definedName name="_________obl1716">#REF!</definedName>
    <definedName name="_________obl1717">#REF!</definedName>
    <definedName name="_________obl1718">#REF!</definedName>
    <definedName name="_________obl1719">#REF!</definedName>
    <definedName name="_________obl173">#REF!</definedName>
    <definedName name="_________obl174">#REF!</definedName>
    <definedName name="_________obl175">#REF!</definedName>
    <definedName name="_________obl176">#REF!</definedName>
    <definedName name="_________obl177">#REF!</definedName>
    <definedName name="_________obl178">#REF!</definedName>
    <definedName name="_________obl179">#REF!</definedName>
    <definedName name="_________obl18">#REF!</definedName>
    <definedName name="_________obl181">#REF!</definedName>
    <definedName name="_________obl1816">#REF!</definedName>
    <definedName name="_________obl1820">#REF!</definedName>
    <definedName name="_________obl1821">#REF!</definedName>
    <definedName name="_________obl1822">#REF!</definedName>
    <definedName name="_________obl1823">#REF!</definedName>
    <definedName name="_________obl1824">#REF!</definedName>
    <definedName name="_________obl1825">#REF!</definedName>
    <definedName name="_________obl1826">#REF!</definedName>
    <definedName name="_________obl1827">#REF!</definedName>
    <definedName name="_________obl1828">#REF!</definedName>
    <definedName name="_________obl1829">#REF!</definedName>
    <definedName name="_________obl183">#REF!</definedName>
    <definedName name="_________obl1831">#REF!</definedName>
    <definedName name="_________obl1832">#REF!</definedName>
    <definedName name="_________obl184">#REF!</definedName>
    <definedName name="_________obl185">#REF!</definedName>
    <definedName name="_________obl186">#REF!</definedName>
    <definedName name="_________obl187">#REF!</definedName>
    <definedName name="________obl11">#REF!</definedName>
    <definedName name="________obl12">#REF!</definedName>
    <definedName name="________obl13">#REF!</definedName>
    <definedName name="________obl14">#REF!</definedName>
    <definedName name="________obl15">#REF!</definedName>
    <definedName name="________obl16">#REF!</definedName>
    <definedName name="________obl17">#REF!</definedName>
    <definedName name="________obl1710">#REF!</definedName>
    <definedName name="________obl1711">#REF!</definedName>
    <definedName name="________obl1712">#REF!</definedName>
    <definedName name="________obl1713">#REF!</definedName>
    <definedName name="________obl1714">#REF!</definedName>
    <definedName name="________obl1715">#REF!</definedName>
    <definedName name="________obl1716">#REF!</definedName>
    <definedName name="________obl1717">#REF!</definedName>
    <definedName name="________obl1718">#REF!</definedName>
    <definedName name="________obl1719">#REF!</definedName>
    <definedName name="________obl173">#REF!</definedName>
    <definedName name="________obl174">#REF!</definedName>
    <definedName name="________obl175">#REF!</definedName>
    <definedName name="________obl176">#REF!</definedName>
    <definedName name="________obl177">#REF!</definedName>
    <definedName name="________obl178">#REF!</definedName>
    <definedName name="________obl179">#REF!</definedName>
    <definedName name="________obl18">#REF!</definedName>
    <definedName name="________obl181">#REF!</definedName>
    <definedName name="________obl1816">#REF!</definedName>
    <definedName name="________obl1820">#REF!</definedName>
    <definedName name="________obl1821">#REF!</definedName>
    <definedName name="________obl1822">#REF!</definedName>
    <definedName name="________obl1823">#REF!</definedName>
    <definedName name="________obl1824">#REF!</definedName>
    <definedName name="________obl1825">#REF!</definedName>
    <definedName name="________obl1826">#REF!</definedName>
    <definedName name="________obl1827">#REF!</definedName>
    <definedName name="________obl1828">#REF!</definedName>
    <definedName name="________obl1829">#REF!</definedName>
    <definedName name="________obl183">#REF!</definedName>
    <definedName name="________obl1831">#REF!</definedName>
    <definedName name="________obl1832">#REF!</definedName>
    <definedName name="________obl184">#REF!</definedName>
    <definedName name="________obl185">#REF!</definedName>
    <definedName name="________obl186">#REF!</definedName>
    <definedName name="________obl187">#REF!</definedName>
    <definedName name="_______obl11">#REF!</definedName>
    <definedName name="_______obl12">#REF!</definedName>
    <definedName name="_______obl13">#REF!</definedName>
    <definedName name="_______obl14">#REF!</definedName>
    <definedName name="_______obl15">#REF!</definedName>
    <definedName name="_______obl16">#REF!</definedName>
    <definedName name="_______obl17">#REF!</definedName>
    <definedName name="_______obl1710">#REF!</definedName>
    <definedName name="_______obl1711">#REF!</definedName>
    <definedName name="_______obl1712">#REF!</definedName>
    <definedName name="_______obl1713">#REF!</definedName>
    <definedName name="_______obl1714">#REF!</definedName>
    <definedName name="_______obl1715">#REF!</definedName>
    <definedName name="_______obl1716">#REF!</definedName>
    <definedName name="_______obl1717">#REF!</definedName>
    <definedName name="_______obl1718">#REF!</definedName>
    <definedName name="_______obl1719">#REF!</definedName>
    <definedName name="_______obl173">#REF!</definedName>
    <definedName name="_______obl174">#REF!</definedName>
    <definedName name="_______obl175">#REF!</definedName>
    <definedName name="_______obl176">#REF!</definedName>
    <definedName name="_______obl177">#REF!</definedName>
    <definedName name="_______obl178">#REF!</definedName>
    <definedName name="_______obl179">#REF!</definedName>
    <definedName name="_______obl18">#REF!</definedName>
    <definedName name="_______obl181">#REF!</definedName>
    <definedName name="_______obl1816">#REF!</definedName>
    <definedName name="_______obl1820">#REF!</definedName>
    <definedName name="_______obl1821">#REF!</definedName>
    <definedName name="_______obl1822">#REF!</definedName>
    <definedName name="_______obl1823">#REF!</definedName>
    <definedName name="_______obl1824">#REF!</definedName>
    <definedName name="_______obl1825">#REF!</definedName>
    <definedName name="_______obl1826">#REF!</definedName>
    <definedName name="_______obl1827">#REF!</definedName>
    <definedName name="_______obl1828">#REF!</definedName>
    <definedName name="_______obl1829">#REF!</definedName>
    <definedName name="_______obl183">#REF!</definedName>
    <definedName name="_______obl1831">#REF!</definedName>
    <definedName name="_______obl1832">#REF!</definedName>
    <definedName name="_______obl184">#REF!</definedName>
    <definedName name="_______obl185">#REF!</definedName>
    <definedName name="_______obl186">#REF!</definedName>
    <definedName name="_______obl187">#REF!</definedName>
    <definedName name="______obl11">#REF!</definedName>
    <definedName name="______obl12">#REF!</definedName>
    <definedName name="______obl13">#REF!</definedName>
    <definedName name="______obl14">#REF!</definedName>
    <definedName name="______obl15">#REF!</definedName>
    <definedName name="______obl16">#REF!</definedName>
    <definedName name="______obl17">#REF!</definedName>
    <definedName name="______obl1710">#REF!</definedName>
    <definedName name="______obl1711">#REF!</definedName>
    <definedName name="______obl1712">#REF!</definedName>
    <definedName name="______obl1713">#REF!</definedName>
    <definedName name="______obl1714">#REF!</definedName>
    <definedName name="______obl1715">#REF!</definedName>
    <definedName name="______obl1716">#REF!</definedName>
    <definedName name="______obl1717">#REF!</definedName>
    <definedName name="______obl1718">#REF!</definedName>
    <definedName name="______obl1719">#REF!</definedName>
    <definedName name="______obl173">#REF!</definedName>
    <definedName name="______obl174">#REF!</definedName>
    <definedName name="______obl175">#REF!</definedName>
    <definedName name="______obl176">#REF!</definedName>
    <definedName name="______obl177">#REF!</definedName>
    <definedName name="______obl178">#REF!</definedName>
    <definedName name="______obl179">#REF!</definedName>
    <definedName name="______obl18">#REF!</definedName>
    <definedName name="______obl181">#REF!</definedName>
    <definedName name="______obl1816">#REF!</definedName>
    <definedName name="______obl1820">#REF!</definedName>
    <definedName name="______obl1821">#REF!</definedName>
    <definedName name="______obl1822">#REF!</definedName>
    <definedName name="______obl1823">#REF!</definedName>
    <definedName name="______obl1824">#REF!</definedName>
    <definedName name="______obl1825">#REF!</definedName>
    <definedName name="______obl1826">#REF!</definedName>
    <definedName name="______obl1827">#REF!</definedName>
    <definedName name="______obl1828">#REF!</definedName>
    <definedName name="______obl1829">#REF!</definedName>
    <definedName name="______obl183">#REF!</definedName>
    <definedName name="______obl1831">#REF!</definedName>
    <definedName name="______obl1832">#REF!</definedName>
    <definedName name="______obl184">#REF!</definedName>
    <definedName name="______obl185">#REF!</definedName>
    <definedName name="______obl186">#REF!</definedName>
    <definedName name="______obl187">#REF!</definedName>
    <definedName name="_____obl11">#REF!</definedName>
    <definedName name="_____obl12">#REF!</definedName>
    <definedName name="_____obl13">#REF!</definedName>
    <definedName name="_____obl14">#REF!</definedName>
    <definedName name="_____obl15">#REF!</definedName>
    <definedName name="_____obl16">#REF!</definedName>
    <definedName name="_____obl17">#REF!</definedName>
    <definedName name="_____obl1710">#REF!</definedName>
    <definedName name="_____obl1711">#REF!</definedName>
    <definedName name="_____obl1712">#REF!</definedName>
    <definedName name="_____obl1713">#REF!</definedName>
    <definedName name="_____obl1714">#REF!</definedName>
    <definedName name="_____obl1715">#REF!</definedName>
    <definedName name="_____obl1716">#REF!</definedName>
    <definedName name="_____obl1717">#REF!</definedName>
    <definedName name="_____obl1718">#REF!</definedName>
    <definedName name="_____obl1719">#REF!</definedName>
    <definedName name="_____obl173">#REF!</definedName>
    <definedName name="_____obl174">#REF!</definedName>
    <definedName name="_____obl175">#REF!</definedName>
    <definedName name="_____obl176">#REF!</definedName>
    <definedName name="_____obl177">#REF!</definedName>
    <definedName name="_____obl178">#REF!</definedName>
    <definedName name="_____obl179">#REF!</definedName>
    <definedName name="_____obl18">#REF!</definedName>
    <definedName name="_____obl181">#REF!</definedName>
    <definedName name="_____obl1816">#REF!</definedName>
    <definedName name="_____obl1820">#REF!</definedName>
    <definedName name="_____obl1821">#REF!</definedName>
    <definedName name="_____obl1822">#REF!</definedName>
    <definedName name="_____obl1823">#REF!</definedName>
    <definedName name="_____obl1824">#REF!</definedName>
    <definedName name="_____obl1825">#REF!</definedName>
    <definedName name="_____obl1826">#REF!</definedName>
    <definedName name="_____obl1827">#REF!</definedName>
    <definedName name="_____obl1828">#REF!</definedName>
    <definedName name="_____obl1829">#REF!</definedName>
    <definedName name="_____obl183">#REF!</definedName>
    <definedName name="_____obl1831">#REF!</definedName>
    <definedName name="_____obl1832">#REF!</definedName>
    <definedName name="_____obl184">#REF!</definedName>
    <definedName name="_____obl185">#REF!</definedName>
    <definedName name="_____obl186">#REF!</definedName>
    <definedName name="_____obl187">#REF!</definedName>
    <definedName name="____obl11">#REF!</definedName>
    <definedName name="____obl12">#REF!</definedName>
    <definedName name="____obl13">#REF!</definedName>
    <definedName name="____obl14">#REF!</definedName>
    <definedName name="____obl15">#REF!</definedName>
    <definedName name="____obl16">#REF!</definedName>
    <definedName name="____obl17">#REF!</definedName>
    <definedName name="____obl1710">#REF!</definedName>
    <definedName name="____obl1711">#REF!</definedName>
    <definedName name="____obl1712">#REF!</definedName>
    <definedName name="____obl1713">#REF!</definedName>
    <definedName name="____obl1714">#REF!</definedName>
    <definedName name="____obl1715">#REF!</definedName>
    <definedName name="____obl1716">#REF!</definedName>
    <definedName name="____obl1717">#REF!</definedName>
    <definedName name="____obl1718">#REF!</definedName>
    <definedName name="____obl1719">#REF!</definedName>
    <definedName name="____obl173">#REF!</definedName>
    <definedName name="____obl174">#REF!</definedName>
    <definedName name="____obl175">#REF!</definedName>
    <definedName name="____obl176">#REF!</definedName>
    <definedName name="____obl177">#REF!</definedName>
    <definedName name="____obl178">#REF!</definedName>
    <definedName name="____obl179">#REF!</definedName>
    <definedName name="____obl18">#REF!</definedName>
    <definedName name="____obl181">#REF!</definedName>
    <definedName name="____obl1816">#REF!</definedName>
    <definedName name="____obl1820">#REF!</definedName>
    <definedName name="____obl1821">#REF!</definedName>
    <definedName name="____obl1822">#REF!</definedName>
    <definedName name="____obl1823">#REF!</definedName>
    <definedName name="____obl1824">#REF!</definedName>
    <definedName name="____obl1825">#REF!</definedName>
    <definedName name="____obl1826">#REF!</definedName>
    <definedName name="____obl1827">#REF!</definedName>
    <definedName name="____obl1828">#REF!</definedName>
    <definedName name="____obl1829">#REF!</definedName>
    <definedName name="____obl183">#REF!</definedName>
    <definedName name="____obl1831">#REF!</definedName>
    <definedName name="____obl1832">#REF!</definedName>
    <definedName name="____obl184">#REF!</definedName>
    <definedName name="____obl185">#REF!</definedName>
    <definedName name="____obl186">#REF!</definedName>
    <definedName name="____obl187">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obl11" localSheetId="0">#REF!</definedName>
    <definedName name="__obl11" localSheetId="1">#REF!</definedName>
    <definedName name="__obl11" localSheetId="2">#REF!</definedName>
    <definedName name="__obl11" localSheetId="3">#REF!</definedName>
    <definedName name="__obl11" localSheetId="4">#REF!</definedName>
    <definedName name="__obl11">#REF!</definedName>
    <definedName name="__obl12" localSheetId="0">#REF!</definedName>
    <definedName name="__obl12" localSheetId="1">#REF!</definedName>
    <definedName name="__obl12" localSheetId="2">#REF!</definedName>
    <definedName name="__obl12" localSheetId="3">#REF!</definedName>
    <definedName name="__obl12" localSheetId="4">#REF!</definedName>
    <definedName name="__obl12">#REF!</definedName>
    <definedName name="__obl13" localSheetId="0">#REF!</definedName>
    <definedName name="__obl13" localSheetId="1">#REF!</definedName>
    <definedName name="__obl13" localSheetId="2">#REF!</definedName>
    <definedName name="__obl13" localSheetId="3">#REF!</definedName>
    <definedName name="__obl13" localSheetId="4">#REF!</definedName>
    <definedName name="__obl13">#REF!</definedName>
    <definedName name="__obl14" localSheetId="1">#REF!</definedName>
    <definedName name="__obl14" localSheetId="2">#REF!</definedName>
    <definedName name="__obl14" localSheetId="3">#REF!</definedName>
    <definedName name="__obl14" localSheetId="4">#REF!</definedName>
    <definedName name="__obl14">#REF!</definedName>
    <definedName name="__obl15" localSheetId="1">#REF!</definedName>
    <definedName name="__obl15" localSheetId="2">#REF!</definedName>
    <definedName name="__obl15" localSheetId="3">#REF!</definedName>
    <definedName name="__obl15" localSheetId="4">#REF!</definedName>
    <definedName name="__obl15">#REF!</definedName>
    <definedName name="__obl16" localSheetId="1">#REF!</definedName>
    <definedName name="__obl16" localSheetId="2">#REF!</definedName>
    <definedName name="__obl16" localSheetId="3">#REF!</definedName>
    <definedName name="__obl16" localSheetId="4">#REF!</definedName>
    <definedName name="__obl16">#REF!</definedName>
    <definedName name="__obl17" localSheetId="1">#REF!</definedName>
    <definedName name="__obl17" localSheetId="2">#REF!</definedName>
    <definedName name="__obl17" localSheetId="3">#REF!</definedName>
    <definedName name="__obl17" localSheetId="4">#REF!</definedName>
    <definedName name="__obl17">#REF!</definedName>
    <definedName name="__obl1710" localSheetId="1">#REF!</definedName>
    <definedName name="__obl1710" localSheetId="2">#REF!</definedName>
    <definedName name="__obl1710" localSheetId="3">#REF!</definedName>
    <definedName name="__obl1710" localSheetId="4">#REF!</definedName>
    <definedName name="__obl1710">#REF!</definedName>
    <definedName name="__obl1711" localSheetId="1">#REF!</definedName>
    <definedName name="__obl1711" localSheetId="2">#REF!</definedName>
    <definedName name="__obl1711" localSheetId="3">#REF!</definedName>
    <definedName name="__obl1711" localSheetId="4">#REF!</definedName>
    <definedName name="__obl1711">#REF!</definedName>
    <definedName name="__obl1712" localSheetId="1">#REF!</definedName>
    <definedName name="__obl1712" localSheetId="2">#REF!</definedName>
    <definedName name="__obl1712" localSheetId="3">#REF!</definedName>
    <definedName name="__obl1712" localSheetId="4">#REF!</definedName>
    <definedName name="__obl1712">#REF!</definedName>
    <definedName name="__obl1713" localSheetId="1">#REF!</definedName>
    <definedName name="__obl1713" localSheetId="2">#REF!</definedName>
    <definedName name="__obl1713" localSheetId="3">#REF!</definedName>
    <definedName name="__obl1713" localSheetId="4">#REF!</definedName>
    <definedName name="__obl1713">#REF!</definedName>
    <definedName name="__obl1714" localSheetId="1">#REF!</definedName>
    <definedName name="__obl1714" localSheetId="2">#REF!</definedName>
    <definedName name="__obl1714" localSheetId="3">#REF!</definedName>
    <definedName name="__obl1714" localSheetId="4">#REF!</definedName>
    <definedName name="__obl1714">#REF!</definedName>
    <definedName name="__obl1715" localSheetId="1">#REF!</definedName>
    <definedName name="__obl1715" localSheetId="2">#REF!</definedName>
    <definedName name="__obl1715" localSheetId="3">#REF!</definedName>
    <definedName name="__obl1715" localSheetId="4">#REF!</definedName>
    <definedName name="__obl1715">#REF!</definedName>
    <definedName name="__obl1716" localSheetId="1">#REF!</definedName>
    <definedName name="__obl1716" localSheetId="2">#REF!</definedName>
    <definedName name="__obl1716" localSheetId="3">#REF!</definedName>
    <definedName name="__obl1716" localSheetId="4">#REF!</definedName>
    <definedName name="__obl1716">#REF!</definedName>
    <definedName name="__obl1717" localSheetId="1">#REF!</definedName>
    <definedName name="__obl1717" localSheetId="2">#REF!</definedName>
    <definedName name="__obl1717" localSheetId="3">#REF!</definedName>
    <definedName name="__obl1717" localSheetId="4">#REF!</definedName>
    <definedName name="__obl1717">#REF!</definedName>
    <definedName name="__obl1718" localSheetId="1">#REF!</definedName>
    <definedName name="__obl1718" localSheetId="2">#REF!</definedName>
    <definedName name="__obl1718" localSheetId="3">#REF!</definedName>
    <definedName name="__obl1718" localSheetId="4">#REF!</definedName>
    <definedName name="__obl1718">#REF!</definedName>
    <definedName name="__obl1719" localSheetId="1">#REF!</definedName>
    <definedName name="__obl1719" localSheetId="2">#REF!</definedName>
    <definedName name="__obl1719" localSheetId="3">#REF!</definedName>
    <definedName name="__obl1719" localSheetId="4">#REF!</definedName>
    <definedName name="__obl1719">#REF!</definedName>
    <definedName name="__obl173" localSheetId="1">#REF!</definedName>
    <definedName name="__obl173" localSheetId="2">#REF!</definedName>
    <definedName name="__obl173" localSheetId="3">#REF!</definedName>
    <definedName name="__obl173" localSheetId="4">#REF!</definedName>
    <definedName name="__obl173">#REF!</definedName>
    <definedName name="__obl174" localSheetId="1">#REF!</definedName>
    <definedName name="__obl174" localSheetId="2">#REF!</definedName>
    <definedName name="__obl174" localSheetId="3">#REF!</definedName>
    <definedName name="__obl174" localSheetId="4">#REF!</definedName>
    <definedName name="__obl174">#REF!</definedName>
    <definedName name="__obl175" localSheetId="1">#REF!</definedName>
    <definedName name="__obl175" localSheetId="2">#REF!</definedName>
    <definedName name="__obl175" localSheetId="3">#REF!</definedName>
    <definedName name="__obl175" localSheetId="4">#REF!</definedName>
    <definedName name="__obl175">#REF!</definedName>
    <definedName name="__obl176" localSheetId="1">#REF!</definedName>
    <definedName name="__obl176" localSheetId="2">#REF!</definedName>
    <definedName name="__obl176" localSheetId="3">#REF!</definedName>
    <definedName name="__obl176" localSheetId="4">#REF!</definedName>
    <definedName name="__obl176">#REF!</definedName>
    <definedName name="__obl177" localSheetId="1">#REF!</definedName>
    <definedName name="__obl177" localSheetId="2">#REF!</definedName>
    <definedName name="__obl177" localSheetId="3">#REF!</definedName>
    <definedName name="__obl177" localSheetId="4">#REF!</definedName>
    <definedName name="__obl177">#REF!</definedName>
    <definedName name="__obl178" localSheetId="1">#REF!</definedName>
    <definedName name="__obl178" localSheetId="2">#REF!</definedName>
    <definedName name="__obl178" localSheetId="3">#REF!</definedName>
    <definedName name="__obl178" localSheetId="4">#REF!</definedName>
    <definedName name="__obl178">#REF!</definedName>
    <definedName name="__obl179" localSheetId="1">#REF!</definedName>
    <definedName name="__obl179" localSheetId="2">#REF!</definedName>
    <definedName name="__obl179" localSheetId="3">#REF!</definedName>
    <definedName name="__obl179" localSheetId="4">#REF!</definedName>
    <definedName name="__obl179">#REF!</definedName>
    <definedName name="__obl18" localSheetId="1">#REF!</definedName>
    <definedName name="__obl18" localSheetId="2">#REF!</definedName>
    <definedName name="__obl18" localSheetId="3">#REF!</definedName>
    <definedName name="__obl18" localSheetId="4">#REF!</definedName>
    <definedName name="__obl18">#REF!</definedName>
    <definedName name="__obl181" localSheetId="1">#REF!</definedName>
    <definedName name="__obl181" localSheetId="2">#REF!</definedName>
    <definedName name="__obl181" localSheetId="3">#REF!</definedName>
    <definedName name="__obl181" localSheetId="4">#REF!</definedName>
    <definedName name="__obl181">#REF!</definedName>
    <definedName name="__obl1816" localSheetId="1">#REF!</definedName>
    <definedName name="__obl1816" localSheetId="2">#REF!</definedName>
    <definedName name="__obl1816" localSheetId="3">#REF!</definedName>
    <definedName name="__obl1816" localSheetId="4">#REF!</definedName>
    <definedName name="__obl1816">#REF!</definedName>
    <definedName name="__obl1820" localSheetId="1">#REF!</definedName>
    <definedName name="__obl1820" localSheetId="2">#REF!</definedName>
    <definedName name="__obl1820" localSheetId="3">#REF!</definedName>
    <definedName name="__obl1820" localSheetId="4">#REF!</definedName>
    <definedName name="__obl1820">#REF!</definedName>
    <definedName name="__obl1821" localSheetId="1">#REF!</definedName>
    <definedName name="__obl1821" localSheetId="2">#REF!</definedName>
    <definedName name="__obl1821" localSheetId="3">#REF!</definedName>
    <definedName name="__obl1821" localSheetId="4">#REF!</definedName>
    <definedName name="__obl1821">#REF!</definedName>
    <definedName name="__obl1822" localSheetId="1">#REF!</definedName>
    <definedName name="__obl1822" localSheetId="2">#REF!</definedName>
    <definedName name="__obl1822" localSheetId="3">#REF!</definedName>
    <definedName name="__obl1822" localSheetId="4">#REF!</definedName>
    <definedName name="__obl1822">#REF!</definedName>
    <definedName name="__obl1823" localSheetId="1">#REF!</definedName>
    <definedName name="__obl1823" localSheetId="2">#REF!</definedName>
    <definedName name="__obl1823" localSheetId="3">#REF!</definedName>
    <definedName name="__obl1823" localSheetId="4">#REF!</definedName>
    <definedName name="__obl1823">#REF!</definedName>
    <definedName name="__obl1824" localSheetId="1">#REF!</definedName>
    <definedName name="__obl1824" localSheetId="2">#REF!</definedName>
    <definedName name="__obl1824" localSheetId="3">#REF!</definedName>
    <definedName name="__obl1824" localSheetId="4">#REF!</definedName>
    <definedName name="__obl1824">#REF!</definedName>
    <definedName name="__obl1825" localSheetId="1">#REF!</definedName>
    <definedName name="__obl1825" localSheetId="2">#REF!</definedName>
    <definedName name="__obl1825" localSheetId="3">#REF!</definedName>
    <definedName name="__obl1825" localSheetId="4">#REF!</definedName>
    <definedName name="__obl1825">#REF!</definedName>
    <definedName name="__obl1826" localSheetId="1">#REF!</definedName>
    <definedName name="__obl1826" localSheetId="2">#REF!</definedName>
    <definedName name="__obl1826" localSheetId="3">#REF!</definedName>
    <definedName name="__obl1826" localSheetId="4">#REF!</definedName>
    <definedName name="__obl1826">#REF!</definedName>
    <definedName name="__obl1827" localSheetId="1">#REF!</definedName>
    <definedName name="__obl1827" localSheetId="2">#REF!</definedName>
    <definedName name="__obl1827" localSheetId="3">#REF!</definedName>
    <definedName name="__obl1827" localSheetId="4">#REF!</definedName>
    <definedName name="__obl1827">#REF!</definedName>
    <definedName name="__obl1828" localSheetId="1">#REF!</definedName>
    <definedName name="__obl1828" localSheetId="2">#REF!</definedName>
    <definedName name="__obl1828" localSheetId="3">#REF!</definedName>
    <definedName name="__obl1828" localSheetId="4">#REF!</definedName>
    <definedName name="__obl1828">#REF!</definedName>
    <definedName name="__obl1829" localSheetId="1">#REF!</definedName>
    <definedName name="__obl1829" localSheetId="2">#REF!</definedName>
    <definedName name="__obl1829" localSheetId="3">#REF!</definedName>
    <definedName name="__obl1829" localSheetId="4">#REF!</definedName>
    <definedName name="__obl1829">#REF!</definedName>
    <definedName name="__obl183" localSheetId="1">#REF!</definedName>
    <definedName name="__obl183" localSheetId="2">#REF!</definedName>
    <definedName name="__obl183" localSheetId="3">#REF!</definedName>
    <definedName name="__obl183" localSheetId="4">#REF!</definedName>
    <definedName name="__obl183">#REF!</definedName>
    <definedName name="__obl1831" localSheetId="1">#REF!</definedName>
    <definedName name="__obl1831" localSheetId="2">#REF!</definedName>
    <definedName name="__obl1831" localSheetId="3">#REF!</definedName>
    <definedName name="__obl1831" localSheetId="4">#REF!</definedName>
    <definedName name="__obl1831">#REF!</definedName>
    <definedName name="__obl1832" localSheetId="1">#REF!</definedName>
    <definedName name="__obl1832" localSheetId="2">#REF!</definedName>
    <definedName name="__obl1832" localSheetId="3">#REF!</definedName>
    <definedName name="__obl1832" localSheetId="4">#REF!</definedName>
    <definedName name="__obl1832">#REF!</definedName>
    <definedName name="__obl184" localSheetId="1">#REF!</definedName>
    <definedName name="__obl184" localSheetId="2">#REF!</definedName>
    <definedName name="__obl184" localSheetId="3">#REF!</definedName>
    <definedName name="__obl184" localSheetId="4">#REF!</definedName>
    <definedName name="__obl184">#REF!</definedName>
    <definedName name="__obl185" localSheetId="1">#REF!</definedName>
    <definedName name="__obl185" localSheetId="2">#REF!</definedName>
    <definedName name="__obl185" localSheetId="3">#REF!</definedName>
    <definedName name="__obl185" localSheetId="4">#REF!</definedName>
    <definedName name="__obl185">#REF!</definedName>
    <definedName name="__obl186" localSheetId="1">#REF!</definedName>
    <definedName name="__obl186" localSheetId="2">#REF!</definedName>
    <definedName name="__obl186" localSheetId="3">#REF!</definedName>
    <definedName name="__obl186" localSheetId="4">#REF!</definedName>
    <definedName name="__obl186">#REF!</definedName>
    <definedName name="__obl187" localSheetId="1">#REF!</definedName>
    <definedName name="__obl187" localSheetId="2">#REF!</definedName>
    <definedName name="__obl187" localSheetId="3">#REF!</definedName>
    <definedName name="__obl187" localSheetId="4">#REF!</definedName>
    <definedName name="__obl187">#REF!</definedName>
    <definedName name="_NS" localSheetId="2">Scheduled_Payment+Extra_Payment</definedName>
    <definedName name="_NS" localSheetId="3">Scheduled_Payment+Extra_Payment</definedName>
    <definedName name="_NS" localSheetId="4">Scheduled_Payment+Extra_Payment</definedName>
    <definedName name="_NS">Scheduled_Payment+Extra_Payment</definedName>
    <definedName name="_obl11" localSheetId="1">#REF!</definedName>
    <definedName name="_obl11" localSheetId="2">#REF!</definedName>
    <definedName name="_obl11" localSheetId="3">#REF!</definedName>
    <definedName name="_obl11" localSheetId="4">#REF!</definedName>
    <definedName name="_obl11">#REF!</definedName>
    <definedName name="_obl112">#REF!</definedName>
    <definedName name="_obl12" localSheetId="1">#REF!</definedName>
    <definedName name="_obl12" localSheetId="2">#REF!</definedName>
    <definedName name="_obl12" localSheetId="3">#REF!</definedName>
    <definedName name="_obl12" localSheetId="4">#REF!</definedName>
    <definedName name="_obl12">#REF!</definedName>
    <definedName name="_obl13" localSheetId="1">#REF!</definedName>
    <definedName name="_obl13" localSheetId="2">#REF!</definedName>
    <definedName name="_obl13" localSheetId="3">#REF!</definedName>
    <definedName name="_obl13" localSheetId="4">#REF!</definedName>
    <definedName name="_obl13">#REF!</definedName>
    <definedName name="_obl14" localSheetId="1">#REF!</definedName>
    <definedName name="_obl14" localSheetId="2">#REF!</definedName>
    <definedName name="_obl14" localSheetId="3">#REF!</definedName>
    <definedName name="_obl14" localSheetId="4">#REF!</definedName>
    <definedName name="_obl14">#REF!</definedName>
    <definedName name="_obl15" localSheetId="1">#REF!</definedName>
    <definedName name="_obl15" localSheetId="2">#REF!</definedName>
    <definedName name="_obl15" localSheetId="3">#REF!</definedName>
    <definedName name="_obl15" localSheetId="4">#REF!</definedName>
    <definedName name="_obl15">#REF!</definedName>
    <definedName name="_obl16" localSheetId="1">#REF!</definedName>
    <definedName name="_obl16" localSheetId="2">#REF!</definedName>
    <definedName name="_obl16" localSheetId="3">#REF!</definedName>
    <definedName name="_obl16" localSheetId="4">#REF!</definedName>
    <definedName name="_obl16">#REF!</definedName>
    <definedName name="_obl17" localSheetId="1">#REF!</definedName>
    <definedName name="_obl17" localSheetId="2">#REF!</definedName>
    <definedName name="_obl17" localSheetId="3">#REF!</definedName>
    <definedName name="_obl17" localSheetId="4">#REF!</definedName>
    <definedName name="_obl17">#REF!</definedName>
    <definedName name="_obl1710" localSheetId="1">#REF!</definedName>
    <definedName name="_obl1710" localSheetId="2">#REF!</definedName>
    <definedName name="_obl1710" localSheetId="3">#REF!</definedName>
    <definedName name="_obl1710" localSheetId="4">#REF!</definedName>
    <definedName name="_obl1710">#REF!</definedName>
    <definedName name="_obl1711" localSheetId="1">#REF!</definedName>
    <definedName name="_obl1711" localSheetId="2">#REF!</definedName>
    <definedName name="_obl1711" localSheetId="3">#REF!</definedName>
    <definedName name="_obl1711" localSheetId="4">#REF!</definedName>
    <definedName name="_obl1711">#REF!</definedName>
    <definedName name="_obl1712" localSheetId="1">#REF!</definedName>
    <definedName name="_obl1712" localSheetId="2">#REF!</definedName>
    <definedName name="_obl1712" localSheetId="3">#REF!</definedName>
    <definedName name="_obl1712" localSheetId="4">#REF!</definedName>
    <definedName name="_obl1712">#REF!</definedName>
    <definedName name="_obl1713" localSheetId="1">#REF!</definedName>
    <definedName name="_obl1713" localSheetId="2">#REF!</definedName>
    <definedName name="_obl1713" localSheetId="3">#REF!</definedName>
    <definedName name="_obl1713" localSheetId="4">#REF!</definedName>
    <definedName name="_obl1713">#REF!</definedName>
    <definedName name="_obl1714" localSheetId="1">#REF!</definedName>
    <definedName name="_obl1714" localSheetId="2">#REF!</definedName>
    <definedName name="_obl1714" localSheetId="3">#REF!</definedName>
    <definedName name="_obl1714" localSheetId="4">#REF!</definedName>
    <definedName name="_obl1714">#REF!</definedName>
    <definedName name="_obl1715" localSheetId="1">#REF!</definedName>
    <definedName name="_obl1715" localSheetId="2">#REF!</definedName>
    <definedName name="_obl1715" localSheetId="3">#REF!</definedName>
    <definedName name="_obl1715" localSheetId="4">#REF!</definedName>
    <definedName name="_obl1715">#REF!</definedName>
    <definedName name="_obl1716" localSheetId="1">#REF!</definedName>
    <definedName name="_obl1716" localSheetId="2">#REF!</definedName>
    <definedName name="_obl1716" localSheetId="3">#REF!</definedName>
    <definedName name="_obl1716" localSheetId="4">#REF!</definedName>
    <definedName name="_obl1716">#REF!</definedName>
    <definedName name="_obl1717" localSheetId="1">#REF!</definedName>
    <definedName name="_obl1717" localSheetId="2">#REF!</definedName>
    <definedName name="_obl1717" localSheetId="3">#REF!</definedName>
    <definedName name="_obl1717" localSheetId="4">#REF!</definedName>
    <definedName name="_obl1717">#REF!</definedName>
    <definedName name="_obl1718" localSheetId="1">#REF!</definedName>
    <definedName name="_obl1718" localSheetId="2">#REF!</definedName>
    <definedName name="_obl1718" localSheetId="3">#REF!</definedName>
    <definedName name="_obl1718" localSheetId="4">#REF!</definedName>
    <definedName name="_obl1718">#REF!</definedName>
    <definedName name="_obl1719" localSheetId="1">#REF!</definedName>
    <definedName name="_obl1719" localSheetId="2">#REF!</definedName>
    <definedName name="_obl1719" localSheetId="3">#REF!</definedName>
    <definedName name="_obl1719" localSheetId="4">#REF!</definedName>
    <definedName name="_obl1719">#REF!</definedName>
    <definedName name="_obl173" localSheetId="1">#REF!</definedName>
    <definedName name="_obl173" localSheetId="2">#REF!</definedName>
    <definedName name="_obl173" localSheetId="3">#REF!</definedName>
    <definedName name="_obl173" localSheetId="4">#REF!</definedName>
    <definedName name="_obl173">#REF!</definedName>
    <definedName name="_obl174" localSheetId="1">#REF!</definedName>
    <definedName name="_obl174" localSheetId="2">#REF!</definedName>
    <definedName name="_obl174" localSheetId="3">#REF!</definedName>
    <definedName name="_obl174" localSheetId="4">#REF!</definedName>
    <definedName name="_obl174">#REF!</definedName>
    <definedName name="_obl175" localSheetId="1">#REF!</definedName>
    <definedName name="_obl175" localSheetId="2">#REF!</definedName>
    <definedName name="_obl175" localSheetId="3">#REF!</definedName>
    <definedName name="_obl175" localSheetId="4">#REF!</definedName>
    <definedName name="_obl175">#REF!</definedName>
    <definedName name="_obl176" localSheetId="1">#REF!</definedName>
    <definedName name="_obl176" localSheetId="2">#REF!</definedName>
    <definedName name="_obl176" localSheetId="3">#REF!</definedName>
    <definedName name="_obl176" localSheetId="4">#REF!</definedName>
    <definedName name="_obl176">#REF!</definedName>
    <definedName name="_obl177" localSheetId="1">#REF!</definedName>
    <definedName name="_obl177" localSheetId="2">#REF!</definedName>
    <definedName name="_obl177" localSheetId="3">#REF!</definedName>
    <definedName name="_obl177" localSheetId="4">#REF!</definedName>
    <definedName name="_obl177">#REF!</definedName>
    <definedName name="_obl178" localSheetId="1">#REF!</definedName>
    <definedName name="_obl178" localSheetId="2">#REF!</definedName>
    <definedName name="_obl178" localSheetId="3">#REF!</definedName>
    <definedName name="_obl178" localSheetId="4">#REF!</definedName>
    <definedName name="_obl178">#REF!</definedName>
    <definedName name="_obl179" localSheetId="1">#REF!</definedName>
    <definedName name="_obl179" localSheetId="2">#REF!</definedName>
    <definedName name="_obl179" localSheetId="3">#REF!</definedName>
    <definedName name="_obl179" localSheetId="4">#REF!</definedName>
    <definedName name="_obl179">#REF!</definedName>
    <definedName name="_obl18" localSheetId="1">#REF!</definedName>
    <definedName name="_obl18" localSheetId="2">#REF!</definedName>
    <definedName name="_obl18" localSheetId="3">#REF!</definedName>
    <definedName name="_obl18" localSheetId="4">#REF!</definedName>
    <definedName name="_obl18">#REF!</definedName>
    <definedName name="_obl181" localSheetId="1">#REF!</definedName>
    <definedName name="_obl181" localSheetId="2">#REF!</definedName>
    <definedName name="_obl181" localSheetId="3">#REF!</definedName>
    <definedName name="_obl181" localSheetId="4">#REF!</definedName>
    <definedName name="_obl181">#REF!</definedName>
    <definedName name="_obl1816" localSheetId="1">#REF!</definedName>
    <definedName name="_obl1816" localSheetId="2">#REF!</definedName>
    <definedName name="_obl1816" localSheetId="3">#REF!</definedName>
    <definedName name="_obl1816" localSheetId="4">#REF!</definedName>
    <definedName name="_obl1816">#REF!</definedName>
    <definedName name="_obl1820" localSheetId="1">#REF!</definedName>
    <definedName name="_obl1820" localSheetId="2">#REF!</definedName>
    <definedName name="_obl1820" localSheetId="3">#REF!</definedName>
    <definedName name="_obl1820" localSheetId="4">#REF!</definedName>
    <definedName name="_obl1820">#REF!</definedName>
    <definedName name="_obl1821" localSheetId="1">#REF!</definedName>
    <definedName name="_obl1821" localSheetId="2">#REF!</definedName>
    <definedName name="_obl1821" localSheetId="3">#REF!</definedName>
    <definedName name="_obl1821" localSheetId="4">#REF!</definedName>
    <definedName name="_obl1821">#REF!</definedName>
    <definedName name="_obl1822" localSheetId="1">#REF!</definedName>
    <definedName name="_obl1822" localSheetId="2">#REF!</definedName>
    <definedName name="_obl1822" localSheetId="3">#REF!</definedName>
    <definedName name="_obl1822" localSheetId="4">#REF!</definedName>
    <definedName name="_obl1822">#REF!</definedName>
    <definedName name="_obl1823" localSheetId="1">#REF!</definedName>
    <definedName name="_obl1823" localSheetId="2">#REF!</definedName>
    <definedName name="_obl1823" localSheetId="3">#REF!</definedName>
    <definedName name="_obl1823" localSheetId="4">#REF!</definedName>
    <definedName name="_obl1823">#REF!</definedName>
    <definedName name="_obl1824" localSheetId="1">#REF!</definedName>
    <definedName name="_obl1824" localSheetId="2">#REF!</definedName>
    <definedName name="_obl1824" localSheetId="3">#REF!</definedName>
    <definedName name="_obl1824" localSheetId="4">#REF!</definedName>
    <definedName name="_obl1824">#REF!</definedName>
    <definedName name="_obl1825" localSheetId="1">#REF!</definedName>
    <definedName name="_obl1825" localSheetId="2">#REF!</definedName>
    <definedName name="_obl1825" localSheetId="3">#REF!</definedName>
    <definedName name="_obl1825" localSheetId="4">#REF!</definedName>
    <definedName name="_obl1825">#REF!</definedName>
    <definedName name="_obl1826" localSheetId="1">#REF!</definedName>
    <definedName name="_obl1826" localSheetId="2">#REF!</definedName>
    <definedName name="_obl1826" localSheetId="3">#REF!</definedName>
    <definedName name="_obl1826" localSheetId="4">#REF!</definedName>
    <definedName name="_obl1826">#REF!</definedName>
    <definedName name="_obl1827" localSheetId="1">#REF!</definedName>
    <definedName name="_obl1827" localSheetId="2">#REF!</definedName>
    <definedName name="_obl1827" localSheetId="3">#REF!</definedName>
    <definedName name="_obl1827" localSheetId="4">#REF!</definedName>
    <definedName name="_obl1827">#REF!</definedName>
    <definedName name="_obl1828" localSheetId="1">#REF!</definedName>
    <definedName name="_obl1828" localSheetId="2">#REF!</definedName>
    <definedName name="_obl1828" localSheetId="3">#REF!</definedName>
    <definedName name="_obl1828" localSheetId="4">#REF!</definedName>
    <definedName name="_obl1828">#REF!</definedName>
    <definedName name="_obl1829" localSheetId="1">#REF!</definedName>
    <definedName name="_obl1829" localSheetId="2">#REF!</definedName>
    <definedName name="_obl1829" localSheetId="3">#REF!</definedName>
    <definedName name="_obl1829" localSheetId="4">#REF!</definedName>
    <definedName name="_obl1829">#REF!</definedName>
    <definedName name="_obl183" localSheetId="1">#REF!</definedName>
    <definedName name="_obl183" localSheetId="2">#REF!</definedName>
    <definedName name="_obl183" localSheetId="3">#REF!</definedName>
    <definedName name="_obl183" localSheetId="4">#REF!</definedName>
    <definedName name="_obl183">#REF!</definedName>
    <definedName name="_obl1831" localSheetId="1">#REF!</definedName>
    <definedName name="_obl1831" localSheetId="2">#REF!</definedName>
    <definedName name="_obl1831" localSheetId="3">#REF!</definedName>
    <definedName name="_obl1831" localSheetId="4">#REF!</definedName>
    <definedName name="_obl1831">#REF!</definedName>
    <definedName name="_obl1832" localSheetId="1">#REF!</definedName>
    <definedName name="_obl1832" localSheetId="2">#REF!</definedName>
    <definedName name="_obl1832" localSheetId="3">#REF!</definedName>
    <definedName name="_obl1832" localSheetId="4">#REF!</definedName>
    <definedName name="_obl1832">#REF!</definedName>
    <definedName name="_obl184" localSheetId="1">#REF!</definedName>
    <definedName name="_obl184" localSheetId="2">#REF!</definedName>
    <definedName name="_obl184" localSheetId="3">#REF!</definedName>
    <definedName name="_obl184" localSheetId="4">#REF!</definedName>
    <definedName name="_obl184">#REF!</definedName>
    <definedName name="_obl185" localSheetId="1">#REF!</definedName>
    <definedName name="_obl185" localSheetId="2">#REF!</definedName>
    <definedName name="_obl185" localSheetId="3">#REF!</definedName>
    <definedName name="_obl185" localSheetId="4">#REF!</definedName>
    <definedName name="_obl185">#REF!</definedName>
    <definedName name="_obl186" localSheetId="1">#REF!</definedName>
    <definedName name="_obl186" localSheetId="2">#REF!</definedName>
    <definedName name="_obl186" localSheetId="3">#REF!</definedName>
    <definedName name="_obl186" localSheetId="4">#REF!</definedName>
    <definedName name="_obl186">#REF!</definedName>
    <definedName name="_obl187" localSheetId="1">#REF!</definedName>
    <definedName name="_obl187" localSheetId="2">#REF!</definedName>
    <definedName name="_obl187" localSheetId="3">#REF!</definedName>
    <definedName name="_obl187" localSheetId="4">#REF!</definedName>
    <definedName name="_obl187">#REF!</definedName>
    <definedName name="_SO16" localSheetId="0" hidden="1">{#N/A,#N/A,TRUE,"Krycí list"}</definedName>
    <definedName name="_SO16" localSheetId="5" hidden="1">{#N/A,#N/A,TRUE,"Krycí list"}</definedName>
    <definedName name="_SO16" hidden="1">{#N/A,#N/A,TRUE,"Krycí list"}</definedName>
    <definedName name="_VZT1" localSheetId="0">Scheduled_Payment+Extra_Payment</definedName>
    <definedName name="_VZT1" localSheetId="1">Scheduled_Payment+Extra_Payment</definedName>
    <definedName name="_VZT1" localSheetId="2">Scheduled_Payment+Extra_Payment</definedName>
    <definedName name="_VZT1" localSheetId="3">Scheduled_Payment+Extra_Payment</definedName>
    <definedName name="_VZT1" localSheetId="4">Scheduled_Payment+Extra_Payment</definedName>
    <definedName name="_VZT1" localSheetId="5">Scheduled_Payment+Extra_Payment</definedName>
    <definedName name="_VZT1">Scheduled_Payment+Extra_Payment</definedName>
    <definedName name="_VZT2" localSheetId="0">DATE(YEAR([0]!Loan_Start),MONTH([0]!Loan_Start)+Payment_Number,DAY([0]!Loan_Start))</definedName>
    <definedName name="_VZT2" localSheetId="1">DATE(YEAR([1]!Loan_Start),MONTH([1]!Loan_Start)+Payment_Number,DAY([1]!Loan_Start))</definedName>
    <definedName name="_VZT2" localSheetId="2">DATE(YEAR([1]!Loan_Start),MONTH([1]!Loan_Start)+Payment_Number,DAY([1]!Loan_Start))</definedName>
    <definedName name="_VZT2" localSheetId="3">DATE(YEAR([1]!Loan_Start),MONTH([1]!Loan_Start)+Payment_Number,DAY([1]!Loan_Start))</definedName>
    <definedName name="_VZT2" localSheetId="4">DATE(YEAR([1]!Loan_Start),MONTH([1]!Loan_Start)+Payment_Number,DAY([1]!Loan_Start))</definedName>
    <definedName name="_VZT2" localSheetId="5">DATE(YEAR('PROPOČET - OST. NÁKLADY'!Loan_Start),MONTH('PROPOČET - OST. NÁKLADY'!Loan_Start)+Payment_Number,DAY('PROPOČET - OST. NÁKLADY'!Loan_Start))</definedName>
    <definedName name="_VZT2">DATE(YEAR([0]!Loan_Start),MONTH([0]!Loan_Start)+Payment_Number,DAY([0]!Loan_Start))</definedName>
    <definedName name="_VZT22" localSheetId="2">DATE(YEAR([1]!Loan_Start),MONTH([1]!Loan_Start)+Payment_Number,DAY([1]!Loan_Start))</definedName>
    <definedName name="_VZT22" localSheetId="3">DATE(YEAR([1]!Loan_Start),MONTH([1]!Loan_Start)+Payment_Number,DAY([1]!Loan_Start))</definedName>
    <definedName name="_VZT22" localSheetId="4">DATE(YEAR([1]!Loan_Start),MONTH([1]!Loan_Start)+Payment_Number,DAY([1]!Loan_Start))</definedName>
    <definedName name="_VZT22">DATE(YEAR([1]!Loan_Start),MONTH([1]!Loan_Start)+Payment_Number,DAY([1]!Loan_Start))</definedName>
    <definedName name="_vzt3" localSheetId="0">'[2]Rekapitulace roz.  vč. kapitol'!#REF!</definedName>
    <definedName name="_vzt3" localSheetId="1">'[2]Rekapitulace roz.  vč. kapitol'!#REF!</definedName>
    <definedName name="_vzt3" localSheetId="2">'[2]Rekapitulace roz.  vč. kapitol'!#REF!</definedName>
    <definedName name="_vzt3" localSheetId="3">'[2]Rekapitulace roz.  vč. kapitol'!#REF!</definedName>
    <definedName name="_vzt3" localSheetId="4">'[2]Rekapitulace roz.  vč. kapitol'!#REF!</definedName>
    <definedName name="_vzt3" localSheetId="5">'[2]Rekapitulace roz.  vč. kapitol'!#REF!</definedName>
    <definedName name="_vzt3">'[2]Rekapitulace roz.  vč. kapitol'!#REF!</definedName>
    <definedName name="_VZT5" localSheetId="0">'[2]Rekapitulace roz.  vč. kapitol'!#REF!</definedName>
    <definedName name="_VZT5" localSheetId="1">'[2]Rekapitulace roz.  vč. kapitol'!#REF!</definedName>
    <definedName name="_VZT5" localSheetId="2">'[2]Rekapitulace roz.  vč. kapitol'!#REF!</definedName>
    <definedName name="_VZT5" localSheetId="3">'[2]Rekapitulace roz.  vč. kapitol'!#REF!</definedName>
    <definedName name="_VZT5" localSheetId="4">'[2]Rekapitulace roz.  vč. kapitol'!#REF!</definedName>
    <definedName name="_VZT5" localSheetId="5">'[2]Rekapitulace roz.  vč. kapitol'!#REF!</definedName>
    <definedName name="_VZT5">'[2]Rekapitulace roz.  vč. kapitol'!#REF!</definedName>
    <definedName name="_VZT6" localSheetId="1">'[2]Rekapitulace roz.  vč. kapitol'!#REF!</definedName>
    <definedName name="_VZT6" localSheetId="2">'[2]Rekapitulace roz.  vč. kapitol'!#REF!</definedName>
    <definedName name="_VZT6" localSheetId="3">'[2]Rekapitulace roz.  vč. kapitol'!#REF!</definedName>
    <definedName name="_VZT6" localSheetId="4">'[2]Rekapitulace roz.  vč. kapitol'!#REF!</definedName>
    <definedName name="_VZT6" localSheetId="5">'[2]Rekapitulace roz.  vč. kapitol'!#REF!</definedName>
    <definedName name="_VZT6">'[2]Rekapitulace roz.  vč. kapitol'!#REF!</definedName>
    <definedName name="_VZT8" localSheetId="1">'[2]Rekapitulace roz.  vč. kapitol'!#REF!</definedName>
    <definedName name="_VZT8" localSheetId="2">'[2]Rekapitulace roz.  vč. kapitol'!#REF!</definedName>
    <definedName name="_VZT8" localSheetId="3">'[2]Rekapitulace roz.  vč. kapitol'!#REF!</definedName>
    <definedName name="_VZT8" localSheetId="4">'[2]Rekapitulace roz.  vč. kapitol'!#REF!</definedName>
    <definedName name="_VZT8" localSheetId="5">'[2]Rekapitulace roz.  vč. kapitol'!#REF!</definedName>
    <definedName name="_VZT8">'[2]Rekapitulace roz.  vč. kapitol'!#REF!</definedName>
    <definedName name="a" localSheetId="1">'[3]F.1.4.5. ZZTI'!#REF!</definedName>
    <definedName name="a" localSheetId="2">'[3]F.1.4.5. ZZTI'!#REF!</definedName>
    <definedName name="a" localSheetId="3">'[3]F.1.4.5. ZZTI'!#REF!</definedName>
    <definedName name="a" localSheetId="4">'[3]F.1.4.5. ZZTI'!#REF!</definedName>
    <definedName name="a" localSheetId="5">'[4]F.1.4.5. ZZTI'!#REF!</definedName>
    <definedName name="a">'[3]F.1.4.5. ZZTI'!#REF!</definedName>
    <definedName name="aaaaaaaa" localSheetId="0" hidden="1">{#N/A,#N/A,TRUE,"Krycí list"}</definedName>
    <definedName name="aaaaaaaa" localSheetId="5" hidden="1">{#N/A,#N/A,TRUE,"Krycí list"}</definedName>
    <definedName name="aaaaaaaa" hidden="1">{#N/A,#N/A,TRUE,"Krycí list"}</definedName>
    <definedName name="adasd">#REF!</definedName>
    <definedName name="baf">#REF!</definedName>
    <definedName name="Beg_Bal" localSheetId="0">#REF!</definedName>
    <definedName name="Beg_Bal" localSheetId="1">#REF!</definedName>
    <definedName name="Beg_Bal" localSheetId="2">#REF!</definedName>
    <definedName name="Beg_Bal" localSheetId="3">#REF!</definedName>
    <definedName name="Beg_Bal" localSheetId="4">#REF!</definedName>
    <definedName name="Beg_Bal">#REF!</definedName>
    <definedName name="bghrerr" localSheetId="1">#REF!</definedName>
    <definedName name="bghrerr" localSheetId="2">#REF!</definedName>
    <definedName name="bghrerr" localSheetId="3">#REF!</definedName>
    <definedName name="bghrerr" localSheetId="4">#REF!</definedName>
    <definedName name="bghrerr">#REF!</definedName>
    <definedName name="bhvfdgvf" localSheetId="1">#REF!</definedName>
    <definedName name="bhvfdgvf" localSheetId="2">#REF!</definedName>
    <definedName name="bhvfdgvf" localSheetId="3">#REF!</definedName>
    <definedName name="bhvfdgvf" localSheetId="4">#REF!</definedName>
    <definedName name="bhvfdgvf">#REF!</definedName>
    <definedName name="body_celkem" localSheetId="1">'[2]Rekapitulace roz.  vč. kapitol'!#REF!</definedName>
    <definedName name="body_celkem" localSheetId="2">'[2]Rekapitulace roz.  vč. kapitol'!#REF!</definedName>
    <definedName name="body_celkem" localSheetId="3">'[2]Rekapitulace roz.  vč. kapitol'!#REF!</definedName>
    <definedName name="body_celkem" localSheetId="4">'[2]Rekapitulace roz.  vč. kapitol'!#REF!</definedName>
    <definedName name="body_celkem">'[2]Rekapitulace roz.  vč. kapitol'!#REF!</definedName>
    <definedName name="body_kapitoly" localSheetId="1">'[2]Rekapitulace roz.  vč. kapitol'!#REF!</definedName>
    <definedName name="body_kapitoly" localSheetId="2">'[2]Rekapitulace roz.  vč. kapitol'!#REF!</definedName>
    <definedName name="body_kapitoly" localSheetId="3">'[2]Rekapitulace roz.  vč. kapitol'!#REF!</definedName>
    <definedName name="body_kapitoly" localSheetId="4">'[2]Rekapitulace roz.  vč. kapitol'!#REF!</definedName>
    <definedName name="body_kapitoly">'[2]Rekapitulace roz.  vč. kapitol'!#REF!</definedName>
    <definedName name="body_pomocny" localSheetId="1">'[2]Rekapitulace roz.  vč. kapitol'!#REF!</definedName>
    <definedName name="body_pomocny" localSheetId="2">'[2]Rekapitulace roz.  vč. kapitol'!#REF!</definedName>
    <definedName name="body_pomocny" localSheetId="3">'[2]Rekapitulace roz.  vč. kapitol'!#REF!</definedName>
    <definedName name="body_pomocny" localSheetId="4">'[2]Rekapitulace roz.  vč. kapitol'!#REF!</definedName>
    <definedName name="body_pomocny">'[2]Rekapitulace roz.  vč. kapitol'!#REF!</definedName>
    <definedName name="body_rozpocty" localSheetId="1">'[2]Rekapitulace roz.  vč. kapitol'!#REF!</definedName>
    <definedName name="body_rozpocty" localSheetId="2">'[2]Rekapitulace roz.  vč. kapitol'!#REF!</definedName>
    <definedName name="body_rozpocty" localSheetId="3">'[2]Rekapitulace roz.  vč. kapitol'!#REF!</definedName>
    <definedName name="body_rozpocty" localSheetId="4">'[2]Rekapitulace roz.  vč. kapitol'!#REF!</definedName>
    <definedName name="body_rozpocty">'[2]Rekapitulace roz.  vč. kapitol'!#REF!</definedName>
    <definedName name="category1" localSheetId="0">#REF!</definedName>
    <definedName name="category1" localSheetId="1">#REF!</definedName>
    <definedName name="category1" localSheetId="2">#REF!</definedName>
    <definedName name="category1" localSheetId="3">#REF!</definedName>
    <definedName name="category1" localSheetId="4">#REF!</definedName>
    <definedName name="category1" localSheetId="5">#REF!</definedName>
    <definedName name="category1">#REF!</definedName>
    <definedName name="CelkemObjekty" localSheetId="0">KL!$F$38</definedName>
    <definedName name="celkrozp" localSheetId="0">#REF!</definedName>
    <definedName name="celkrozp" localSheetId="1">#REF!</definedName>
    <definedName name="celkrozp" localSheetId="2">#REF!</definedName>
    <definedName name="celkrozp" localSheetId="3">#REF!</definedName>
    <definedName name="celkrozp" localSheetId="4">#REF!</definedName>
    <definedName name="celkrozp" localSheetId="5">#REF!</definedName>
    <definedName name="celkrozp">#REF!</definedName>
    <definedName name="cisloobjektu" localSheetId="0">#REF!</definedName>
    <definedName name="cisloobjektu" localSheetId="1">#REF!</definedName>
    <definedName name="cisloobjektu" localSheetId="2">#REF!</definedName>
    <definedName name="cisloobjektu" localSheetId="3">#REF!</definedName>
    <definedName name="cisloobjektu" localSheetId="4">#REF!</definedName>
    <definedName name="cisloobjektu" localSheetId="5">#REF!</definedName>
    <definedName name="cisloobjektu">#REF!</definedName>
    <definedName name="CisloStavby" localSheetId="0">KL!#REF!</definedName>
    <definedName name="cislostavby" localSheetId="1">#REF!</definedName>
    <definedName name="cislostavby" localSheetId="2">#REF!</definedName>
    <definedName name="cislostavby" localSheetId="3">#REF!</definedName>
    <definedName name="cislostavby" localSheetId="4">#REF!</definedName>
    <definedName name="cislostavby" localSheetId="5">#REF!</definedName>
    <definedName name="cislostavby">#REF!</definedName>
    <definedName name="d" localSheetId="0" hidden="1">{#N/A,#N/A,TRUE,"Krycí list"}</definedName>
    <definedName name="d" localSheetId="5" hidden="1">{#N/A,#N/A,TRUE,"Krycí list"}</definedName>
    <definedName name="d" hidden="1">{#N/A,#N/A,TRUE,"Krycí list"}</definedName>
    <definedName name="dadresa" localSheetId="0">KL!$D$8</definedName>
    <definedName name="Data" localSheetId="0">#REF!</definedName>
    <definedName name="Data" localSheetId="1">#REF!</definedName>
    <definedName name="Data" localSheetId="2">#REF!</definedName>
    <definedName name="Data" localSheetId="3">#REF!</definedName>
    <definedName name="Data" localSheetId="4">#REF!</definedName>
    <definedName name="Data" localSheetId="5">#REF!</definedName>
    <definedName name="Data">#REF!</definedName>
    <definedName name="Datum" localSheetId="0">#REF!</definedName>
    <definedName name="Datum" localSheetId="1">#REF!</definedName>
    <definedName name="Datum" localSheetId="2">#REF!</definedName>
    <definedName name="Datum" localSheetId="3">#REF!</definedName>
    <definedName name="Datum" localSheetId="4">#REF!</definedName>
    <definedName name="Datum" localSheetId="5">#REF!</definedName>
    <definedName name="Datum">#REF!</definedName>
    <definedName name="dfdaf" localSheetId="1">#REF!</definedName>
    <definedName name="dfdaf" localSheetId="2">#REF!</definedName>
    <definedName name="dfdaf" localSheetId="3">#REF!</definedName>
    <definedName name="dfdaf" localSheetId="4">#REF!</definedName>
    <definedName name="dfdaf" localSheetId="5">#REF!</definedName>
    <definedName name="dfdaf">#REF!</definedName>
    <definedName name="DIČ" localSheetId="0">KL!$J$8</definedName>
    <definedName name="Dil" localSheetId="0">#REF!</definedName>
    <definedName name="Dil" localSheetId="1">#REF!</definedName>
    <definedName name="Dil" localSheetId="2">#REF!</definedName>
    <definedName name="Dil" localSheetId="3">#REF!</definedName>
    <definedName name="Dil" localSheetId="4">#REF!</definedName>
    <definedName name="Dil">#REF!</definedName>
    <definedName name="DKGJSDGS" localSheetId="1">#REF!</definedName>
    <definedName name="DKGJSDGS" localSheetId="2">#REF!</definedName>
    <definedName name="DKGJSDGS" localSheetId="3">#REF!</definedName>
    <definedName name="DKGJSDGS" localSheetId="4">#REF!</definedName>
    <definedName name="DKGJSDGS">#REF!</definedName>
    <definedName name="dmisto" localSheetId="0">KL!#REF!</definedName>
    <definedName name="dod" localSheetId="1">'[3]F.1.4.5. ZZTI'!#REF!</definedName>
    <definedName name="dod" localSheetId="2">'[3]F.1.4.5. ZZTI'!#REF!</definedName>
    <definedName name="dod" localSheetId="3">'[3]F.1.4.5. ZZTI'!#REF!</definedName>
    <definedName name="dod" localSheetId="4">'[3]F.1.4.5. ZZTI'!#REF!</definedName>
    <definedName name="dod" localSheetId="5">'[4]F.1.4.5. ZZTI'!#REF!</definedName>
    <definedName name="dod">'[3]F.1.4.5. ZZTI'!#REF!</definedName>
    <definedName name="Dodavka" localSheetId="0">#REF!</definedName>
    <definedName name="Dodavka" localSheetId="1">#REF!</definedName>
    <definedName name="Dodavka" localSheetId="2">#REF!</definedName>
    <definedName name="Dodavka" localSheetId="3">#REF!</definedName>
    <definedName name="Dodavka" localSheetId="4">#REF!</definedName>
    <definedName name="Dodavka" localSheetId="5">#REF!</definedName>
    <definedName name="Dodavka">#REF!</definedName>
    <definedName name="Dodavka0" localSheetId="0">'[5]002-A.1. Archstav  reseni'!#REF!</definedName>
    <definedName name="Dodavka0" localSheetId="1">#REF!</definedName>
    <definedName name="Dodavka0" localSheetId="2">#REF!</definedName>
    <definedName name="Dodavka0" localSheetId="3">#REF!</definedName>
    <definedName name="Dodavka0" localSheetId="4">#REF!</definedName>
    <definedName name="Dodavka0" localSheetId="5">#REF!</definedName>
    <definedName name="Dodavka0">#REF!</definedName>
    <definedName name="dpsc" localSheetId="0">KL!#REF!</definedName>
    <definedName name="dsfbhbg" localSheetId="0">#REF!</definedName>
    <definedName name="dsfbhbg" localSheetId="1">#REF!</definedName>
    <definedName name="dsfbhbg" localSheetId="2">#REF!</definedName>
    <definedName name="dsfbhbg" localSheetId="3">#REF!</definedName>
    <definedName name="dsfbhbg" localSheetId="4">#REF!</definedName>
    <definedName name="dsfbhbg">#REF!</definedName>
    <definedName name="End_Bal" localSheetId="1">#REF!</definedName>
    <definedName name="End_Bal" localSheetId="2">#REF!</definedName>
    <definedName name="End_Bal" localSheetId="3">#REF!</definedName>
    <definedName name="End_Bal" localSheetId="4">#REF!</definedName>
    <definedName name="End_Bal">#REF!</definedName>
    <definedName name="exter1" localSheetId="1">#REF!</definedName>
    <definedName name="exter1" localSheetId="2">#REF!</definedName>
    <definedName name="exter1" localSheetId="3">#REF!</definedName>
    <definedName name="exter1" localSheetId="4">#REF!</definedName>
    <definedName name="exter1">#REF!</definedName>
    <definedName name="Extra_Pay" localSheetId="1">#REF!</definedName>
    <definedName name="Extra_Pay" localSheetId="2">#REF!</definedName>
    <definedName name="Extra_Pay" localSheetId="3">#REF!</definedName>
    <definedName name="Extra_Pay" localSheetId="4">#REF!</definedName>
    <definedName name="Extra_Pay">#REF!</definedName>
    <definedName name="f" localSheetId="1">#REF!</definedName>
    <definedName name="f" localSheetId="2">#REF!</definedName>
    <definedName name="f" localSheetId="3">#REF!</definedName>
    <definedName name="f" localSheetId="4">#REF!</definedName>
    <definedName name="f">#REF!</definedName>
    <definedName name="Full_Print" localSheetId="1">#REF!</definedName>
    <definedName name="Full_Print" localSheetId="2">#REF!</definedName>
    <definedName name="Full_Print" localSheetId="3">#REF!</definedName>
    <definedName name="Full_Print" localSheetId="4">#REF!</definedName>
    <definedName name="Full_Print">#REF!</definedName>
    <definedName name="H">'[2]Rekapitulace roz.  vč. kapitol'!#REF!</definedName>
    <definedName name="ha" localSheetId="1">'[3]F.1.4.5. ZZTI'!#REF!</definedName>
    <definedName name="ha" localSheetId="2">'[3]F.1.4.5. ZZTI'!#REF!</definedName>
    <definedName name="ha" localSheetId="3">'[3]F.1.4.5. ZZTI'!#REF!</definedName>
    <definedName name="ha" localSheetId="4">'[3]F.1.4.5. ZZTI'!#REF!</definedName>
    <definedName name="ha" localSheetId="5">'[4]F.1.4.5. ZZTI'!#REF!</definedName>
    <definedName name="ha">'[3]F.1.4.5. ZZTI'!#REF!</definedName>
    <definedName name="Header_Row" localSheetId="1">ROW(#REF!)</definedName>
    <definedName name="Header_Row" localSheetId="2">ROW(#REF!)</definedName>
    <definedName name="Header_Row" localSheetId="3">ROW(#REF!)</definedName>
    <definedName name="Header_Row" localSheetId="4">ROW(#REF!)</definedName>
    <definedName name="Header_Row">ROW(#REF!)</definedName>
    <definedName name="hovno" localSheetId="1">#REF!</definedName>
    <definedName name="hovno" localSheetId="2">#REF!</definedName>
    <definedName name="hovno" localSheetId="3">#REF!</definedName>
    <definedName name="hovno" localSheetId="4">#REF!</definedName>
    <definedName name="hovno">#REF!</definedName>
    <definedName name="hs" localSheetId="1">#REF!</definedName>
    <definedName name="hs" localSheetId="2">#REF!</definedName>
    <definedName name="hs" localSheetId="3">#REF!</definedName>
    <definedName name="hs" localSheetId="4">#REF!</definedName>
    <definedName name="hs">#REF!</definedName>
    <definedName name="HSV" localSheetId="0">#REF!</definedName>
    <definedName name="HSV" localSheetId="1">#REF!</definedName>
    <definedName name="HSV" localSheetId="2">#REF!</definedName>
    <definedName name="HSV" localSheetId="3">#REF!</definedName>
    <definedName name="HSV" localSheetId="4">#REF!</definedName>
    <definedName name="HSV">#REF!</definedName>
    <definedName name="HSV0" localSheetId="0">'[5]002-A.1. Archstav  reseni'!#REF!</definedName>
    <definedName name="HSV0" localSheetId="1">#REF!</definedName>
    <definedName name="HSV0" localSheetId="2">#REF!</definedName>
    <definedName name="HSV0" localSheetId="3">#REF!</definedName>
    <definedName name="HSV0" localSheetId="4">#REF!</definedName>
    <definedName name="HSV0" localSheetId="5">#REF!</definedName>
    <definedName name="HSV0">#REF!</definedName>
    <definedName name="HZS" localSheetId="0">#REF!</definedName>
    <definedName name="HZS" localSheetId="1">#REF!</definedName>
    <definedName name="HZS" localSheetId="2">#REF!</definedName>
    <definedName name="HZS" localSheetId="3">#REF!</definedName>
    <definedName name="HZS" localSheetId="4">#REF!</definedName>
    <definedName name="HZS">#REF!</definedName>
    <definedName name="HZS0" localSheetId="0">'[5]002-A.1. Archstav  reseni'!#REF!</definedName>
    <definedName name="HZS0" localSheetId="1">#REF!</definedName>
    <definedName name="HZS0" localSheetId="2">#REF!</definedName>
    <definedName name="HZS0" localSheetId="3">#REF!</definedName>
    <definedName name="HZS0" localSheetId="4">#REF!</definedName>
    <definedName name="HZS0" localSheetId="5">#REF!</definedName>
    <definedName name="HZS0">#REF!</definedName>
    <definedName name="IČO" localSheetId="0">KL!$J$7</definedName>
    <definedName name="Int" localSheetId="0">#REF!</definedName>
    <definedName name="Int" localSheetId="1">#REF!</definedName>
    <definedName name="Int" localSheetId="2">#REF!</definedName>
    <definedName name="Int" localSheetId="3">#REF!</definedName>
    <definedName name="Int" localSheetId="4">#REF!</definedName>
    <definedName name="Int">#REF!</definedName>
    <definedName name="inter1" localSheetId="1">#REF!</definedName>
    <definedName name="inter1" localSheetId="2">#REF!</definedName>
    <definedName name="inter1" localSheetId="3">#REF!</definedName>
    <definedName name="inter1" localSheetId="4">#REF!</definedName>
    <definedName name="inter1">#REF!</definedName>
    <definedName name="Interest_Rate" localSheetId="1">#REF!</definedName>
    <definedName name="Interest_Rate" localSheetId="2">#REF!</definedName>
    <definedName name="Interest_Rate" localSheetId="3">#REF!</definedName>
    <definedName name="Interest_Rate" localSheetId="4">#REF!</definedName>
    <definedName name="Interest_Rate">#REF!</definedName>
    <definedName name="JKSO" localSheetId="0">#REF!</definedName>
    <definedName name="JKSO" localSheetId="1">#REF!</definedName>
    <definedName name="JKSO" localSheetId="2">#REF!</definedName>
    <definedName name="JKSO" localSheetId="3">#REF!</definedName>
    <definedName name="JKSO" localSheetId="4">#REF!</definedName>
    <definedName name="JKSO">#REF!</definedName>
    <definedName name="jzzuggt" localSheetId="1">#REF!</definedName>
    <definedName name="jzzuggt" localSheetId="2">#REF!</definedName>
    <definedName name="jzzuggt" localSheetId="3">#REF!</definedName>
    <definedName name="jzzuggt" localSheetId="4">#REF!</definedName>
    <definedName name="jzzuggt">#REF!</definedName>
    <definedName name="Last_Row" localSheetId="0">IF(KL!Values_Entered,Header_Row+KL!Number_of_Payments,Header_Row)</definedName>
    <definedName name="Last_Row" localSheetId="1">IF('OBJEKT 1'!Values_Entered,'OBJEKT 1'!Header_Row+'OBJEKT 1'!Number_of_Payments,'OBJEKT 1'!Header_Row)</definedName>
    <definedName name="Last_Row" localSheetId="2">IF('OBJEKT 2'!Values_Entered,'OBJEKT 2'!Header_Row+'OBJEKT 2'!Number_of_Payments,'OBJEKT 2'!Header_Row)</definedName>
    <definedName name="Last_Row" localSheetId="3">IF('OBJEKT 3'!Values_Entered,'OBJEKT 3'!Header_Row+'OBJEKT 3'!Number_of_Payments,'OBJEKT 3'!Header_Row)</definedName>
    <definedName name="Last_Row" localSheetId="4">IF('OBJEKT 4'!Values_Entered,'OBJEKT 4'!Header_Row+'OBJEKT 4'!Number_of_Payments,'OBJEKT 4'!Header_Row)</definedName>
    <definedName name="Last_Row" localSheetId="5">IF('PROPOČET - OST. NÁKLADY'!Values_Entered,Header_Row+'PROPOČET - OST. NÁKLADY'!Number_of_Payments,Header_Row)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localSheetId="5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localSheetId="5" hidden="1">{#N/A,#N/A,TRUE,"Krycí list"}</definedName>
    <definedName name="Lighting" hidden="1">{#N/A,#N/A,TRUE,"Krycí list"}</definedName>
    <definedName name="Loan_Amount" localSheetId="0">#REF!</definedName>
    <definedName name="Loan_Amount" localSheetId="1">#REF!</definedName>
    <definedName name="Loan_Amount" localSheetId="2">#REF!</definedName>
    <definedName name="Loan_Amount" localSheetId="3">#REF!</definedName>
    <definedName name="Loan_Amount" localSheetId="4">#REF!</definedName>
    <definedName name="Loan_Amount" localSheetId="5">#REF!</definedName>
    <definedName name="Loan_Amount">#REF!</definedName>
    <definedName name="Loan_Start" localSheetId="1">#REF!</definedName>
    <definedName name="Loan_Start" localSheetId="2">#REF!</definedName>
    <definedName name="Loan_Start" localSheetId="3">#REF!</definedName>
    <definedName name="Loan_Start" localSheetId="4">#REF!</definedName>
    <definedName name="Loan_Start" localSheetId="5">#REF!</definedName>
    <definedName name="Loan_Start">#REF!</definedName>
    <definedName name="Loan_Years" localSheetId="1">#REF!</definedName>
    <definedName name="Loan_Years" localSheetId="2">#REF!</definedName>
    <definedName name="Loan_Years" localSheetId="3">#REF!</definedName>
    <definedName name="Loan_Years" localSheetId="4">#REF!</definedName>
    <definedName name="Loan_Years" localSheetId="5">#REF!</definedName>
    <definedName name="Loan_Years">#REF!</definedName>
    <definedName name="MaR" localSheetId="0" hidden="1">{#N/A,#N/A,TRUE,"Krycí list"}</definedName>
    <definedName name="MaR" localSheetId="5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localSheetId="5" hidden="1">{#N/A,#N/A,TRUE,"Krycí list"}</definedName>
    <definedName name="meraregulace" hidden="1">{#N/A,#N/A,TRUE,"Krycí list"}</definedName>
    <definedName name="mereni" localSheetId="0">Scheduled_Payment+Extra_Payment</definedName>
    <definedName name="mereni" localSheetId="1">Scheduled_Payment+Extra_Payment</definedName>
    <definedName name="mereni" localSheetId="2">Scheduled_Payment+Extra_Payment</definedName>
    <definedName name="mereni" localSheetId="3">Scheduled_Payment+Extra_Payment</definedName>
    <definedName name="mereni" localSheetId="4">Scheduled_Payment+Extra_Payment</definedName>
    <definedName name="mereni" localSheetId="5">Scheduled_Payment+Extra_Payment</definedName>
    <definedName name="mereni">Scheduled_Payment+Extra_Payment</definedName>
    <definedName name="MJ" localSheetId="0">#REF!</definedName>
    <definedName name="MJ" localSheetId="1">#REF!</definedName>
    <definedName name="MJ" localSheetId="2">#REF!</definedName>
    <definedName name="MJ" localSheetId="3">#REF!</definedName>
    <definedName name="MJ" localSheetId="4">#REF!</definedName>
    <definedName name="MJ" localSheetId="5">#REF!</definedName>
    <definedName name="MJ">#REF!</definedName>
    <definedName name="Mont" localSheetId="0">#REF!</definedName>
    <definedName name="Mont" localSheetId="1">#REF!</definedName>
    <definedName name="Mont" localSheetId="2">#REF!</definedName>
    <definedName name="Mont" localSheetId="3">#REF!</definedName>
    <definedName name="Mont" localSheetId="4">#REF!</definedName>
    <definedName name="Mont" localSheetId="5">#REF!</definedName>
    <definedName name="Mont">#REF!</definedName>
    <definedName name="Montaz0" localSheetId="0">'[5]002-A.1. Archstav  reseni'!#REF!</definedName>
    <definedName name="Montaz0" localSheetId="1">#REF!</definedName>
    <definedName name="Montaz0" localSheetId="2">#REF!</definedName>
    <definedName name="Montaz0" localSheetId="3">#REF!</definedName>
    <definedName name="Montaz0" localSheetId="4">#REF!</definedName>
    <definedName name="Montaz0" localSheetId="5">#REF!</definedName>
    <definedName name="Montaz0">#REF!</definedName>
    <definedName name="mts" localSheetId="1">#REF!</definedName>
    <definedName name="mts" localSheetId="2">#REF!</definedName>
    <definedName name="mts" localSheetId="3">#REF!</definedName>
    <definedName name="mts" localSheetId="4">#REF!</definedName>
    <definedName name="mts">#REF!</definedName>
    <definedName name="n" localSheetId="0">Scheduled_Payment+Extra_Payment</definedName>
    <definedName name="n" localSheetId="1">Scheduled_Payment+Extra_Payment</definedName>
    <definedName name="n" localSheetId="2">Scheduled_Payment+Extra_Payment</definedName>
    <definedName name="n" localSheetId="3">Scheduled_Payment+Extra_Payment</definedName>
    <definedName name="n" localSheetId="4">Scheduled_Payment+Extra_Payment</definedName>
    <definedName name="n" localSheetId="5">Scheduled_Payment+Extra_Payment</definedName>
    <definedName name="n">Scheduled_Payment+Extra_Payment</definedName>
    <definedName name="NazevDilu" localSheetId="0">#REF!</definedName>
    <definedName name="NazevDilu" localSheetId="1">#REF!</definedName>
    <definedName name="NazevDilu" localSheetId="2">#REF!</definedName>
    <definedName name="NazevDilu" localSheetId="3">#REF!</definedName>
    <definedName name="NazevDilu" localSheetId="4">#REF!</definedName>
    <definedName name="NazevDilu" localSheetId="5">#REF!</definedName>
    <definedName name="NazevDilu">#REF!</definedName>
    <definedName name="NazevObjektu" localSheetId="0">KL!$C$30</definedName>
    <definedName name="nazevobjektu" localSheetId="1">#REF!</definedName>
    <definedName name="nazevobjektu" localSheetId="2">#REF!</definedName>
    <definedName name="nazevobjektu" localSheetId="3">#REF!</definedName>
    <definedName name="nazevobjektu" localSheetId="4">#REF!</definedName>
    <definedName name="nazevobjektu" localSheetId="5">#REF!</definedName>
    <definedName name="nazevobjektu">#REF!</definedName>
    <definedName name="NazevStavby" localSheetId="0">KL!$D$5</definedName>
    <definedName name="nazevstavby" localSheetId="1">#REF!</definedName>
    <definedName name="nazevstavby" localSheetId="2">#REF!</definedName>
    <definedName name="nazevstavby" localSheetId="3">#REF!</definedName>
    <definedName name="nazevstavby" localSheetId="4">#REF!</definedName>
    <definedName name="nazevstavby" localSheetId="5">#REF!</definedName>
    <definedName name="nazevstavby">#REF!</definedName>
    <definedName name="Num_Pmt_Per_Year" localSheetId="1">#REF!</definedName>
    <definedName name="Num_Pmt_Per_Year" localSheetId="2">#REF!</definedName>
    <definedName name="Num_Pmt_Per_Year" localSheetId="3">#REF!</definedName>
    <definedName name="Num_Pmt_Per_Year" localSheetId="4">#REF!</definedName>
    <definedName name="Num_Pmt_Per_Year">#REF!</definedName>
    <definedName name="Number_of_Payments" localSheetId="0">MATCH(0.01,End_Bal,-1)+1</definedName>
    <definedName name="Number_of_Payments" localSheetId="1">MATCH(0.01,'OBJEKT 1'!End_Bal,-1)+1</definedName>
    <definedName name="Number_of_Payments" localSheetId="2">MATCH(0.01,'OBJEKT 2'!End_Bal,-1)+1</definedName>
    <definedName name="Number_of_Payments" localSheetId="3">MATCH(0.01,'OBJEKT 3'!End_Bal,-1)+1</definedName>
    <definedName name="Number_of_Payments" localSheetId="4">MATCH(0.01,'OBJEKT 4'!End_Bal,-1)+1</definedName>
    <definedName name="Number_of_Payments" localSheetId="5">MATCH(0.01,End_Bal,-1)+1</definedName>
    <definedName name="Number_of_Payments">MATCH(0.01,End_Bal,-1)+1</definedName>
    <definedName name="obch_sleva" localSheetId="0">#REF!</definedName>
    <definedName name="obch_sleva" localSheetId="1">#REF!</definedName>
    <definedName name="obch_sleva" localSheetId="2">#REF!</definedName>
    <definedName name="obch_sleva" localSheetId="3">#REF!</definedName>
    <definedName name="obch_sleva" localSheetId="4">#REF!</definedName>
    <definedName name="obch_sleva" localSheetId="5">#REF!</definedName>
    <definedName name="obch_sleva">#REF!</definedName>
    <definedName name="Objednatel" localSheetId="0">KL!$D$9</definedName>
    <definedName name="Objednatel" localSheetId="1">#REF!</definedName>
    <definedName name="Objednatel" localSheetId="2">#REF!</definedName>
    <definedName name="Objednatel" localSheetId="3">#REF!</definedName>
    <definedName name="Objednatel" localSheetId="4">#REF!</definedName>
    <definedName name="Objednatel" localSheetId="5">#REF!</definedName>
    <definedName name="Objednatel">#REF!</definedName>
    <definedName name="Objekt" localSheetId="0">KL!$B$30</definedName>
    <definedName name="_xlnm.Print_Area" localSheetId="0">KL!$A$1:$I$52</definedName>
    <definedName name="_xlnm.Print_Area" localSheetId="1">'OBJEKT 1'!$A$1:$I$380</definedName>
    <definedName name="_xlnm.Print_Area" localSheetId="2">'OBJEKT 2'!$A$1:$I$459</definedName>
    <definedName name="_xlnm.Print_Area" localSheetId="3">'OBJEKT 3'!$A$1:$I$451</definedName>
    <definedName name="_xlnm.Print_Area" localSheetId="4">'OBJEKT 4'!$A$1:$I$263</definedName>
    <definedName name="_xlnm.Print_Area" localSheetId="5">'PROPOČET - OST. NÁKLADY'!$A$1:$G$85</definedName>
    <definedName name="odic" localSheetId="0">KL!#REF!</definedName>
    <definedName name="oico" localSheetId="0">KL!$J$9</definedName>
    <definedName name="omisto" localSheetId="0">KL!#REF!</definedName>
    <definedName name="onazev" localSheetId="0">KL!#REF!</definedName>
    <definedName name="op" localSheetId="0">#REF!</definedName>
    <definedName name="op" localSheetId="1">#REF!</definedName>
    <definedName name="op" localSheetId="2">#REF!</definedName>
    <definedName name="op" localSheetId="3">#REF!</definedName>
    <definedName name="op" localSheetId="4">#REF!</definedName>
    <definedName name="op" localSheetId="5">#REF!</definedName>
    <definedName name="op">#REF!</definedName>
    <definedName name="opsc" localSheetId="0">KL!#REF!</definedName>
    <definedName name="Outside" localSheetId="0" hidden="1">{#N/A,#N/A,TRUE,"Krycí list"}</definedName>
    <definedName name="Outside" localSheetId="5" hidden="1">{#N/A,#N/A,TRUE,"Krycí list"}</definedName>
    <definedName name="Outside" hidden="1">{#N/A,#N/A,TRUE,"Krycí list"}</definedName>
    <definedName name="Pay_Date" localSheetId="0">#REF!</definedName>
    <definedName name="Pay_Date" localSheetId="1">#REF!</definedName>
    <definedName name="Pay_Date" localSheetId="2">#REF!</definedName>
    <definedName name="Pay_Date" localSheetId="3">#REF!</definedName>
    <definedName name="Pay_Date" localSheetId="4">#REF!</definedName>
    <definedName name="Pay_Date" localSheetId="5">#REF!</definedName>
    <definedName name="Pay_Date">#REF!</definedName>
    <definedName name="Pay_Num" localSheetId="1">#REF!</definedName>
    <definedName name="Pay_Num" localSheetId="2">#REF!</definedName>
    <definedName name="Pay_Num" localSheetId="3">#REF!</definedName>
    <definedName name="Pay_Num" localSheetId="4">#REF!</definedName>
    <definedName name="Pay_Num" localSheetId="5">#REF!</definedName>
    <definedName name="Pay_Num">#REF!</definedName>
    <definedName name="Payment_Date" localSheetId="0">DATE(YEAR(Loan_Start),MONTH(Loan_Start)+Payment_Number,DAY(Loan_Start))</definedName>
    <definedName name="Payment_Date" localSheetId="1">DATE(YEAR('OBJEKT 1'!Loan_Start),MONTH('OBJEKT 1'!Loan_Start)+Payment_Number,DAY('OBJEKT 1'!Loan_Start))</definedName>
    <definedName name="Payment_Date" localSheetId="2">DATE(YEAR('OBJEKT 2'!Loan_Start),MONTH('OBJEKT 2'!Loan_Start)+Payment_Number,DAY('OBJEKT 2'!Loan_Start))</definedName>
    <definedName name="Payment_Date" localSheetId="3">DATE(YEAR('OBJEKT 3'!Loan_Start),MONTH('OBJEKT 3'!Loan_Start)+Payment_Number,DAY('OBJEKT 3'!Loan_Start))</definedName>
    <definedName name="Payment_Date" localSheetId="4">DATE(YEAR('OBJEKT 4'!Loan_Start),MONTH('OBJEKT 4'!Loan_Start)+Payment_Number,DAY('OBJEKT 4'!Loan_Start))</definedName>
    <definedName name="Payment_Date" localSheetId="5">DATE(YEAR('PROPOČET - OST. NÁKLADY'!Loan_Start),MONTH('PROPOČET - OST. NÁKLADY'!Loan_Start)+Payment_Number,DAY('PROPOČET - OST. NÁKLADY'!Loan_Start))</definedName>
    <definedName name="Payment_Date">DATE(YEAR(Loan_Start),MONTH(Loan_Start)+Payment_Number,DAY(Loan_Start))</definedName>
    <definedName name="PocetMJ" localSheetId="0">#REF!</definedName>
    <definedName name="PocetMJ" localSheetId="1">#REF!</definedName>
    <definedName name="PocetMJ" localSheetId="2">#REF!</definedName>
    <definedName name="PocetMJ" localSheetId="3">#REF!</definedName>
    <definedName name="PocetMJ" localSheetId="4">#REF!</definedName>
    <definedName name="PocetMJ" localSheetId="5">#REF!</definedName>
    <definedName name="PocetMJ">#REF!</definedName>
    <definedName name="pokusAAAA" localSheetId="1">#REF!</definedName>
    <definedName name="pokusAAAA" localSheetId="2">#REF!</definedName>
    <definedName name="pokusAAAA" localSheetId="3">#REF!</definedName>
    <definedName name="pokusAAAA" localSheetId="4">#REF!</definedName>
    <definedName name="pokusAAAA" localSheetId="5">#REF!</definedName>
    <definedName name="pokusAAAA">#REF!</definedName>
    <definedName name="pokusadres" localSheetId="1">#REF!</definedName>
    <definedName name="pokusadres" localSheetId="2">#REF!</definedName>
    <definedName name="pokusadres" localSheetId="3">#REF!</definedName>
    <definedName name="pokusadres" localSheetId="4">#REF!</definedName>
    <definedName name="pokusadres" localSheetId="5">#REF!</definedName>
    <definedName name="pokusadres">#REF!</definedName>
    <definedName name="položka_A1" localSheetId="1">#REF!</definedName>
    <definedName name="položka_A1" localSheetId="2">#REF!</definedName>
    <definedName name="položka_A1" localSheetId="3">#REF!</definedName>
    <definedName name="položka_A1" localSheetId="4">#REF!</definedName>
    <definedName name="položka_A1">#REF!</definedName>
    <definedName name="položky" localSheetId="1">#REF!</definedName>
    <definedName name="položky" localSheetId="2">#REF!</definedName>
    <definedName name="položky" localSheetId="3">#REF!</definedName>
    <definedName name="položky" localSheetId="4">#REF!</definedName>
    <definedName name="položky">#REF!</definedName>
    <definedName name="pom_výp_zač" localSheetId="1">#REF!</definedName>
    <definedName name="pom_výp_zač" localSheetId="2">#REF!</definedName>
    <definedName name="pom_výp_zač" localSheetId="3">#REF!</definedName>
    <definedName name="pom_výp_zač" localSheetId="4">#REF!</definedName>
    <definedName name="pom_výp_zač">#REF!</definedName>
    <definedName name="pom_výpočty" localSheetId="1">#REF!</definedName>
    <definedName name="pom_výpočty" localSheetId="2">#REF!</definedName>
    <definedName name="pom_výpočty" localSheetId="3">#REF!</definedName>
    <definedName name="pom_výpočty" localSheetId="4">#REF!</definedName>
    <definedName name="pom_výpočty">#REF!</definedName>
    <definedName name="powersock" localSheetId="0" hidden="1">{#N/A,#N/A,TRUE,"Krycí list"}</definedName>
    <definedName name="powersock" localSheetId="5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localSheetId="5" hidden="1">{#N/A,#N/A,TRUE,"Krycí list"}</definedName>
    <definedName name="PowerSocket" hidden="1">{#N/A,#N/A,TRUE,"Krycí list"}</definedName>
    <definedName name="Poznamka" localSheetId="0">#REF!</definedName>
    <definedName name="Poznamka" localSheetId="1">#REF!</definedName>
    <definedName name="Poznamka" localSheetId="2">#REF!</definedName>
    <definedName name="Poznamka" localSheetId="3">#REF!</definedName>
    <definedName name="Poznamka" localSheetId="4">#REF!</definedName>
    <definedName name="Poznamka" localSheetId="5">#REF!</definedName>
    <definedName name="Poznamka">#REF!</definedName>
    <definedName name="poznámka" localSheetId="1">#REF!</definedName>
    <definedName name="poznámka" localSheetId="2">#REF!</definedName>
    <definedName name="poznámka" localSheetId="3">#REF!</definedName>
    <definedName name="poznámka" localSheetId="4">#REF!</definedName>
    <definedName name="poznámka" localSheetId="5">#REF!</definedName>
    <definedName name="poznámka">#REF!</definedName>
    <definedName name="prep_schem" localSheetId="1">#REF!</definedName>
    <definedName name="prep_schem" localSheetId="2">#REF!</definedName>
    <definedName name="prep_schem" localSheetId="3">#REF!</definedName>
    <definedName name="prep_schem" localSheetId="4">#REF!</definedName>
    <definedName name="prep_schem" localSheetId="5">#REF!</definedName>
    <definedName name="prep_schem">#REF!</definedName>
    <definedName name="Princ" localSheetId="1">#REF!</definedName>
    <definedName name="Princ" localSheetId="2">#REF!</definedName>
    <definedName name="Princ" localSheetId="3">#REF!</definedName>
    <definedName name="Princ" localSheetId="4">#REF!</definedName>
    <definedName name="Princ">#REF!</definedName>
    <definedName name="Print_Area" localSheetId="0">KL!$A$1:$I$51</definedName>
    <definedName name="Print_Area" localSheetId="1">'OBJEKT 1'!$A$1:$I$380</definedName>
    <definedName name="Print_Area" localSheetId="2">'OBJEKT 2'!$A$1:$I$459</definedName>
    <definedName name="Print_Area" localSheetId="3">'OBJEKT 3'!$A$1:$I$451</definedName>
    <definedName name="Print_Area" localSheetId="4">'OBJEKT 4'!$A$1:$I$263</definedName>
    <definedName name="Print_Area" localSheetId="5">'PROPOČET - OST. NÁKLADY'!$A$1:$G$85</definedName>
    <definedName name="Print_Area_Reset" localSheetId="0">OFFSET(Full_Print,0,0,KL!Last_Row)</definedName>
    <definedName name="Print_Area_Reset" localSheetId="1">OFFSET('OBJEKT 1'!Full_Print,0,0,'OBJEKT 1'!Last_Row)</definedName>
    <definedName name="Print_Area_Reset" localSheetId="2">OFFSET('OBJEKT 2'!Full_Print,0,0,'OBJEKT 2'!Last_Row)</definedName>
    <definedName name="Print_Area_Reset" localSheetId="3">OFFSET('OBJEKT 3'!Full_Print,0,0,'OBJEKT 3'!Last_Row)</definedName>
    <definedName name="Print_Area_Reset" localSheetId="4">OFFSET('OBJEKT 4'!Full_Print,0,0,'OBJEKT 4'!Last_Row)</definedName>
    <definedName name="Print_Area_Reset" localSheetId="5">OFFSET(Full_Print,0,0,'PROPOČET - OST. NÁKLADY'!Last_Row)</definedName>
    <definedName name="Print_Area_Reset">OFFSET(Full_Print,0,0,Last_Row)</definedName>
    <definedName name="Projektant" localSheetId="0">#REF!</definedName>
    <definedName name="Projektant" localSheetId="1">#REF!</definedName>
    <definedName name="Projektant" localSheetId="2">#REF!</definedName>
    <definedName name="Projektant" localSheetId="3">#REF!</definedName>
    <definedName name="Projektant" localSheetId="4">#REF!</definedName>
    <definedName name="Projektant" localSheetId="5">#REF!</definedName>
    <definedName name="Projektant">#REF!</definedName>
    <definedName name="PSV" localSheetId="0">#REF!</definedName>
    <definedName name="PSV" localSheetId="1">#REF!</definedName>
    <definedName name="PSV" localSheetId="2">#REF!</definedName>
    <definedName name="PSV" localSheetId="3">#REF!</definedName>
    <definedName name="PSV" localSheetId="4">#REF!</definedName>
    <definedName name="PSV" localSheetId="5">#REF!</definedName>
    <definedName name="PSV">#REF!</definedName>
    <definedName name="PSV0" localSheetId="0">'[5]002-A.1. Archstav  reseni'!#REF!</definedName>
    <definedName name="PSV0" localSheetId="1">#REF!</definedName>
    <definedName name="PSV0" localSheetId="2">#REF!</definedName>
    <definedName name="PSV0" localSheetId="3">#REF!</definedName>
    <definedName name="PSV0" localSheetId="4">#REF!</definedName>
    <definedName name="PSV0" localSheetId="5">#REF!</definedName>
    <definedName name="PSV0">#REF!</definedName>
    <definedName name="QQ" localSheetId="0" hidden="1">{#N/A,#N/A,TRUE,"Krycí list"}</definedName>
    <definedName name="QQ" localSheetId="5" hidden="1">{#N/A,#N/A,TRUE,"Krycí list"}</definedName>
    <definedName name="QQ" hidden="1">{#N/A,#N/A,TRUE,"Krycí list"}</definedName>
    <definedName name="QQQ" localSheetId="0" hidden="1">{#N/A,#N/A,TRUE,"Krycí list"}</definedName>
    <definedName name="QQQ" localSheetId="5" hidden="1">{#N/A,#N/A,TRUE,"Krycí list"}</definedName>
    <definedName name="QQQ" hidden="1">{#N/A,#N/A,TRUE,"Krycí list"}</definedName>
    <definedName name="rekapitulace" localSheetId="0">#REF!</definedName>
    <definedName name="rekapitulace" localSheetId="1">#REF!</definedName>
    <definedName name="rekapitulace" localSheetId="2">#REF!</definedName>
    <definedName name="rekapitulace" localSheetId="3">#REF!</definedName>
    <definedName name="rekapitulace" localSheetId="4">#REF!</definedName>
    <definedName name="rekapitulace" localSheetId="5">#REF!</definedName>
    <definedName name="rekapitulace">#REF!</definedName>
    <definedName name="rozp" localSheetId="0" hidden="1">{#N/A,#N/A,TRUE,"Krycí list"}</definedName>
    <definedName name="rozp" localSheetId="5" hidden="1">{#N/A,#N/A,TRUE,"Krycí list"}</definedName>
    <definedName name="rozp" hidden="1">{#N/A,#N/A,TRUE,"Krycí list"}</definedName>
    <definedName name="rozvržení_rozp" localSheetId="0">#REF!</definedName>
    <definedName name="rozvržení_rozp" localSheetId="1">#REF!</definedName>
    <definedName name="rozvržení_rozp" localSheetId="2">#REF!</definedName>
    <definedName name="rozvržení_rozp" localSheetId="3">#REF!</definedName>
    <definedName name="rozvržení_rozp" localSheetId="4">#REF!</definedName>
    <definedName name="rozvržení_rozp" localSheetId="5">#REF!</definedName>
    <definedName name="rozvržení_rozp">#REF!</definedName>
    <definedName name="saboproud" localSheetId="0" hidden="1">{#N/A,#N/A,TRUE,"Krycí list"}</definedName>
    <definedName name="saboproud" localSheetId="5" hidden="1">{#N/A,#N/A,TRUE,"Krycí list"}</definedName>
    <definedName name="saboproud" hidden="1">{#N/A,#N/A,TRUE,"Krycí list"}</definedName>
    <definedName name="SazbaDPH1" localSheetId="0">KL!$D$20</definedName>
    <definedName name="SazbaDPH1" localSheetId="1">#REF!</definedName>
    <definedName name="SazbaDPH1" localSheetId="2">#REF!</definedName>
    <definedName name="SazbaDPH1" localSheetId="3">#REF!</definedName>
    <definedName name="SazbaDPH1" localSheetId="4">#REF!</definedName>
    <definedName name="SazbaDPH1" localSheetId="5">#REF!</definedName>
    <definedName name="SazbaDPH1">#REF!</definedName>
    <definedName name="SazbaDPH2" localSheetId="0">KL!$D$22</definedName>
    <definedName name="SazbaDPH2" localSheetId="1">#REF!</definedName>
    <definedName name="SazbaDPH2" localSheetId="2">#REF!</definedName>
    <definedName name="SazbaDPH2" localSheetId="3">#REF!</definedName>
    <definedName name="SazbaDPH2" localSheetId="4">#REF!</definedName>
    <definedName name="SazbaDPH2" localSheetId="5">#REF!</definedName>
    <definedName name="SazbaDPH2">#REF!</definedName>
    <definedName name="Sched_Pay" localSheetId="1">#REF!</definedName>
    <definedName name="Sched_Pay" localSheetId="2">#REF!</definedName>
    <definedName name="Sched_Pay" localSheetId="3">#REF!</definedName>
    <definedName name="Sched_Pay" localSheetId="4">#REF!</definedName>
    <definedName name="Sched_Pay">#REF!</definedName>
    <definedName name="Scheduled_Extra_Payments" localSheetId="1">#REF!</definedName>
    <definedName name="Scheduled_Extra_Payments" localSheetId="2">#REF!</definedName>
    <definedName name="Scheduled_Extra_Payments" localSheetId="3">#REF!</definedName>
    <definedName name="Scheduled_Extra_Payments" localSheetId="4">#REF!</definedName>
    <definedName name="Scheduled_Extra_Payments">#REF!</definedName>
    <definedName name="Scheduled_Interest_Rate" localSheetId="1">#REF!</definedName>
    <definedName name="Scheduled_Interest_Rate" localSheetId="2">#REF!</definedName>
    <definedName name="Scheduled_Interest_Rate" localSheetId="3">#REF!</definedName>
    <definedName name="Scheduled_Interest_Rate" localSheetId="4">#REF!</definedName>
    <definedName name="Scheduled_Interest_Rate">#REF!</definedName>
    <definedName name="Scheduled_Monthly_Payment" localSheetId="1">#REF!</definedName>
    <definedName name="Scheduled_Monthly_Payment" localSheetId="2">#REF!</definedName>
    <definedName name="Scheduled_Monthly_Payment" localSheetId="3">#REF!</definedName>
    <definedName name="Scheduled_Monthly_Payment" localSheetId="4">#REF!</definedName>
    <definedName name="Scheduled_Monthly_Payment">#REF!</definedName>
    <definedName name="SloupecCC" localSheetId="0">#REF!</definedName>
    <definedName name="SloupecCC" localSheetId="1">#REF!</definedName>
    <definedName name="SloupecCC" localSheetId="2">#REF!</definedName>
    <definedName name="SloupecCC" localSheetId="3">#REF!</definedName>
    <definedName name="SloupecCC" localSheetId="4">#REF!</definedName>
    <definedName name="SloupecCC">#REF!</definedName>
    <definedName name="SloupecCisloPol" localSheetId="0">#REF!</definedName>
    <definedName name="SloupecCisloPol" localSheetId="1">#REF!</definedName>
    <definedName name="SloupecCisloPol" localSheetId="2">#REF!</definedName>
    <definedName name="SloupecCisloPol" localSheetId="3">#REF!</definedName>
    <definedName name="SloupecCisloPol" localSheetId="4">#REF!</definedName>
    <definedName name="SloupecCisloPol">#REF!</definedName>
    <definedName name="SloupecJC" localSheetId="0">#REF!</definedName>
    <definedName name="SloupecJC" localSheetId="1">#REF!</definedName>
    <definedName name="SloupecJC" localSheetId="2">#REF!</definedName>
    <definedName name="SloupecJC" localSheetId="3">#REF!</definedName>
    <definedName name="SloupecJC" localSheetId="4">#REF!</definedName>
    <definedName name="SloupecJC">#REF!</definedName>
    <definedName name="SloupecMJ" localSheetId="0">#REF!</definedName>
    <definedName name="SloupecMJ" localSheetId="1">#REF!</definedName>
    <definedName name="SloupecMJ" localSheetId="2">#REF!</definedName>
    <definedName name="SloupecMJ" localSheetId="3">#REF!</definedName>
    <definedName name="SloupecMJ" localSheetId="4">#REF!</definedName>
    <definedName name="SloupecMJ">#REF!</definedName>
    <definedName name="SloupecMnozstvi" localSheetId="0">#REF!</definedName>
    <definedName name="SloupecMnozstvi" localSheetId="1">#REF!</definedName>
    <definedName name="SloupecMnozstvi" localSheetId="2">#REF!</definedName>
    <definedName name="SloupecMnozstvi" localSheetId="3">#REF!</definedName>
    <definedName name="SloupecMnozstvi" localSheetId="4">#REF!</definedName>
    <definedName name="SloupecMnozstvi">#REF!</definedName>
    <definedName name="SloupecNazPol" localSheetId="0">#REF!</definedName>
    <definedName name="SloupecNazPol" localSheetId="1">#REF!</definedName>
    <definedName name="SloupecNazPol" localSheetId="2">#REF!</definedName>
    <definedName name="SloupecNazPol" localSheetId="3">#REF!</definedName>
    <definedName name="SloupecNazPol" localSheetId="4">#REF!</definedName>
    <definedName name="SloupecNazPol">#REF!</definedName>
    <definedName name="SloupecPC" localSheetId="0">#REF!</definedName>
    <definedName name="SloupecPC" localSheetId="1">#REF!</definedName>
    <definedName name="SloupecPC" localSheetId="2">#REF!</definedName>
    <definedName name="SloupecPC" localSheetId="3">#REF!</definedName>
    <definedName name="SloupecPC" localSheetId="4">#REF!</definedName>
    <definedName name="SloupecPC">#REF!</definedName>
    <definedName name="SoucetDilu" localSheetId="0">KL!#REF!</definedName>
    <definedName name="soupis" localSheetId="0" hidden="1">{#N/A,#N/A,TRUE,"Krycí list"}</definedName>
    <definedName name="soupis" localSheetId="5" hidden="1">{#N/A,#N/A,TRUE,"Krycí list"}</definedName>
    <definedName name="soupis" hidden="1">{#N/A,#N/A,TRUE,"Krycí list"}</definedName>
    <definedName name="ssss" localSheetId="0">#REF!</definedName>
    <definedName name="ssss" localSheetId="1">#REF!</definedName>
    <definedName name="ssss" localSheetId="2">#REF!</definedName>
    <definedName name="ssss" localSheetId="3">#REF!</definedName>
    <definedName name="ssss" localSheetId="4">#REF!</definedName>
    <definedName name="ssss" localSheetId="5">#REF!</definedName>
    <definedName name="ssss">#REF!</definedName>
    <definedName name="StavbaCelkem" localSheetId="0">KL!$H$38</definedName>
    <definedName name="subslevy" localSheetId="0">#REF!</definedName>
    <definedName name="subslevy" localSheetId="1">#REF!</definedName>
    <definedName name="subslevy" localSheetId="2">#REF!</definedName>
    <definedName name="subslevy" localSheetId="3">#REF!</definedName>
    <definedName name="subslevy" localSheetId="4">#REF!</definedName>
    <definedName name="subslevy" localSheetId="5">#REF!</definedName>
    <definedName name="subslevy">#REF!</definedName>
    <definedName name="sum_kapitoly" localSheetId="0">'[2]Rekapitulace roz.  vč. kapitol'!#REF!</definedName>
    <definedName name="sum_kapitoly" localSheetId="1">'[2]Rekapitulace roz.  vč. kapitol'!#REF!</definedName>
    <definedName name="sum_kapitoly" localSheetId="2">'[2]Rekapitulace roz.  vč. kapitol'!#REF!</definedName>
    <definedName name="sum_kapitoly" localSheetId="3">'[2]Rekapitulace roz.  vč. kapitol'!#REF!</definedName>
    <definedName name="sum_kapitoly" localSheetId="4">'[2]Rekapitulace roz.  vč. kapitol'!#REF!</definedName>
    <definedName name="sum_kapitoly" localSheetId="5">'[2]Rekapitulace roz.  vč. kapitol'!#REF!</definedName>
    <definedName name="sum_kapitoly">'[2]Rekapitulace roz.  vč. kapitol'!#REF!</definedName>
    <definedName name="summary" localSheetId="0" hidden="1">{#N/A,#N/A,TRUE,"Krycí list"}</definedName>
    <definedName name="summary" localSheetId="5" hidden="1">{#N/A,#N/A,TRUE,"Krycí list"}</definedName>
    <definedName name="summary" hidden="1">{#N/A,#N/A,TRUE,"Krycí list"}</definedName>
    <definedName name="sumpok" localSheetId="0">#REF!</definedName>
    <definedName name="sumpok" localSheetId="1">#REF!</definedName>
    <definedName name="sumpok" localSheetId="2">#REF!</definedName>
    <definedName name="sumpok" localSheetId="3">#REF!</definedName>
    <definedName name="sumpok" localSheetId="4">#REF!</definedName>
    <definedName name="sumpok" localSheetId="5">#REF!</definedName>
    <definedName name="sumpok">#REF!</definedName>
    <definedName name="Switchboard" localSheetId="0" hidden="1">{#N/A,#N/A,TRUE,"Krycí list"}</definedName>
    <definedName name="Switchboard" localSheetId="5" hidden="1">{#N/A,#N/A,TRUE,"Krycí list"}</definedName>
    <definedName name="Switchboard" hidden="1">{#N/A,#N/A,TRUE,"Krycí list"}</definedName>
    <definedName name="tab" localSheetId="0">#REF!</definedName>
    <definedName name="tab" localSheetId="1">#REF!</definedName>
    <definedName name="tab" localSheetId="2">#REF!</definedName>
    <definedName name="tab" localSheetId="3">#REF!</definedName>
    <definedName name="tab" localSheetId="4">#REF!</definedName>
    <definedName name="tab" localSheetId="5">#REF!</definedName>
    <definedName name="tab">#REF!</definedName>
    <definedName name="Total_Interest" localSheetId="1">#REF!</definedName>
    <definedName name="Total_Interest" localSheetId="2">#REF!</definedName>
    <definedName name="Total_Interest" localSheetId="3">#REF!</definedName>
    <definedName name="Total_Interest" localSheetId="4">#REF!</definedName>
    <definedName name="Total_Interest" localSheetId="5">#REF!</definedName>
    <definedName name="Total_Interest">#REF!</definedName>
    <definedName name="Total_Pay" localSheetId="1">#REF!</definedName>
    <definedName name="Total_Pay" localSheetId="2">#REF!</definedName>
    <definedName name="Total_Pay" localSheetId="3">#REF!</definedName>
    <definedName name="Total_Pay" localSheetId="4">#REF!</definedName>
    <definedName name="Total_Pay" localSheetId="5">#REF!</definedName>
    <definedName name="Total_Pay">#REF!</definedName>
    <definedName name="Total_Payment" localSheetId="0">Scheduled_Payment+Extra_Payment</definedName>
    <definedName name="Total_Payment" localSheetId="1">Scheduled_Payment+Extra_Payment</definedName>
    <definedName name="Total_Payment" localSheetId="2">Scheduled_Payment+Extra_Payment</definedName>
    <definedName name="Total_Payment" localSheetId="3">Scheduled_Payment+Extra_Payment</definedName>
    <definedName name="Total_Payment" localSheetId="4">Scheduled_Payment+Extra_Payment</definedName>
    <definedName name="Total_Payment" localSheetId="5">Scheduled_Payment+Extra_Payment</definedName>
    <definedName name="Total_Payment">Scheduled_Payment+Extra_Payment</definedName>
    <definedName name="Typ" localSheetId="0">'[5]002-A.1. Archstav  reseni'!#REF!</definedName>
    <definedName name="Typ" localSheetId="1">#REF!</definedName>
    <definedName name="Typ" localSheetId="2">#REF!</definedName>
    <definedName name="Typ" localSheetId="3">#REF!</definedName>
    <definedName name="Typ" localSheetId="4">#REF!</definedName>
    <definedName name="Typ" localSheetId="5">#REF!</definedName>
    <definedName name="Typ">#REF!</definedName>
    <definedName name="v" localSheetId="0">'[2]Rekapitulace roz.  vč. kapitol'!#REF!</definedName>
    <definedName name="v" localSheetId="1">'[2]Rekapitulace roz.  vč. kapitol'!#REF!</definedName>
    <definedName name="v" localSheetId="2">'[2]Rekapitulace roz.  vč. kapitol'!#REF!</definedName>
    <definedName name="v" localSheetId="3">'[2]Rekapitulace roz.  vč. kapitol'!#REF!</definedName>
    <definedName name="v" localSheetId="4">'[2]Rekapitulace roz.  vč. kapitol'!#REF!</definedName>
    <definedName name="v" localSheetId="5">'[2]Rekapitulace roz.  vč. kapitol'!#REF!</definedName>
    <definedName name="v">'[2]Rekapitulace roz.  vč. kapitol'!#REF!</definedName>
    <definedName name="Values_Entered" localSheetId="0">IF(KL!Loan_Amount*Interest_Rate*Loan_Years*Loan_Start&gt;0,1,0)</definedName>
    <definedName name="Values_Entered" localSheetId="1">IF('OBJEKT 1'!Loan_Amount*'OBJEKT 1'!Interest_Rate*'OBJEKT 1'!Loan_Years*'OBJEKT 1'!Loan_Start&gt;0,1,0)</definedName>
    <definedName name="Values_Entered" localSheetId="2">IF('OBJEKT 2'!Loan_Amount*'OBJEKT 2'!Interest_Rate*'OBJEKT 2'!Loan_Years*'OBJEKT 2'!Loan_Start&gt;0,1,0)</definedName>
    <definedName name="Values_Entered" localSheetId="3">IF('OBJEKT 3'!Loan_Amount*'OBJEKT 3'!Interest_Rate*'OBJEKT 3'!Loan_Years*'OBJEKT 3'!Loan_Start&gt;0,1,0)</definedName>
    <definedName name="Values_Entered" localSheetId="4">IF('OBJEKT 4'!Loan_Amount*'OBJEKT 4'!Interest_Rate*'OBJEKT 4'!Loan_Years*'OBJEKT 4'!Loan_Start&gt;0,1,0)</definedName>
    <definedName name="Values_Entered" localSheetId="5">IF('PROPOČET - OST. NÁKLADY'!Loan_Amount*Interest_Rate*'PROPOČET - OST. NÁKLADY'!Loan_Years*'PROPOČET - OST. NÁKLADY'!Loan_Start&gt;0,1,0)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localSheetId="5" hidden="1">{#N/A,#N/A,TRUE,"Krycí list"}</definedName>
    <definedName name="VIZA" hidden="1">{#N/A,#N/A,TRUE,"Krycí list"}</definedName>
    <definedName name="VIZA12" localSheetId="0" hidden="1">{#N/A,#N/A,TRUE,"Krycí list"}</definedName>
    <definedName name="VIZA12" localSheetId="5" hidden="1">{#N/A,#N/A,TRUE,"Krycí list"}</definedName>
    <definedName name="VIZA12" hidden="1">{#N/A,#N/A,TRUE,"Krycí list"}</definedName>
    <definedName name="VRN" localSheetId="0">#REF!</definedName>
    <definedName name="VRN" localSheetId="1">#REF!</definedName>
    <definedName name="VRN" localSheetId="2">#REF!</definedName>
    <definedName name="VRN" localSheetId="3">#REF!</definedName>
    <definedName name="VRN" localSheetId="4">#REF!</definedName>
    <definedName name="VRN" localSheetId="5">#REF!</definedName>
    <definedName name="VRN">#REF!</definedName>
    <definedName name="VRNKc" localSheetId="0">#REF!</definedName>
    <definedName name="VRNKc" localSheetId="1">#REF!</definedName>
    <definedName name="VRNKc" localSheetId="2">#REF!</definedName>
    <definedName name="VRNKc" localSheetId="3">#REF!</definedName>
    <definedName name="VRNKc" localSheetId="4">#REF!</definedName>
    <definedName name="VRNKc" localSheetId="5">#REF!</definedName>
    <definedName name="VRNKc">#REF!</definedName>
    <definedName name="VRNnazev" localSheetId="0">#REF!</definedName>
    <definedName name="VRNnazev" localSheetId="1">#REF!</definedName>
    <definedName name="VRNnazev" localSheetId="2">#REF!</definedName>
    <definedName name="VRNnazev" localSheetId="3">#REF!</definedName>
    <definedName name="VRNnazev" localSheetId="4">#REF!</definedName>
    <definedName name="VRNnazev" localSheetId="5">#REF!</definedName>
    <definedName name="VRNnazev">#REF!</definedName>
    <definedName name="VRNproc" localSheetId="0">#REF!</definedName>
    <definedName name="VRNproc" localSheetId="1">#REF!</definedName>
    <definedName name="VRNproc" localSheetId="2">#REF!</definedName>
    <definedName name="VRNproc" localSheetId="3">#REF!</definedName>
    <definedName name="VRNproc" localSheetId="4">#REF!</definedName>
    <definedName name="VRNproc">#REF!</definedName>
    <definedName name="VRNzakl" localSheetId="0">#REF!</definedName>
    <definedName name="VRNzakl" localSheetId="1">#REF!</definedName>
    <definedName name="VRNzakl" localSheetId="2">#REF!</definedName>
    <definedName name="VRNzakl" localSheetId="3">#REF!</definedName>
    <definedName name="VRNzakl" localSheetId="4">#REF!</definedName>
    <definedName name="VRNzakl">#REF!</definedName>
    <definedName name="výpočty" localSheetId="1">#REF!</definedName>
    <definedName name="výpočty" localSheetId="2">#REF!</definedName>
    <definedName name="výpočty" localSheetId="3">#REF!</definedName>
    <definedName name="výpočty" localSheetId="4">#REF!</definedName>
    <definedName name="výpočty">#REF!</definedName>
    <definedName name="vystup" localSheetId="1">#REF!</definedName>
    <definedName name="vystup" localSheetId="2">#REF!</definedName>
    <definedName name="vystup" localSheetId="3">#REF!</definedName>
    <definedName name="vystup" localSheetId="4">#REF!</definedName>
    <definedName name="vystup">#REF!</definedName>
    <definedName name="vzduchna" localSheetId="0" hidden="1">{#N/A,#N/A,TRUE,"Krycí list"}</definedName>
    <definedName name="vzduchna" localSheetId="5" hidden="1">{#N/A,#N/A,TRUE,"Krycí list"}</definedName>
    <definedName name="vzduchna" hidden="1">{#N/A,#N/A,TRUE,"Krycí list"}</definedName>
    <definedName name="Weak" localSheetId="0" hidden="1">{#N/A,#N/A,TRUE,"Krycí list"}</definedName>
    <definedName name="Weak" localSheetId="5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localSheetId="5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localSheetId="5" hidden="1">{#N/A,#N/A,TRUE,"Krycí list"}</definedName>
    <definedName name="wrn.Kontrolní._.rozpoeet." hidden="1">{#N/A,#N/A,TRUE,"Krycí list"}</definedName>
    <definedName name="y">#REF!</definedName>
    <definedName name="Z">#REF!</definedName>
    <definedName name="zahrnsazby" localSheetId="0">#REF!</definedName>
    <definedName name="zahrnsazby" localSheetId="1">#REF!</definedName>
    <definedName name="zahrnsazby" localSheetId="2">#REF!</definedName>
    <definedName name="zahrnsazby" localSheetId="3">#REF!</definedName>
    <definedName name="zahrnsazby" localSheetId="4">#REF!</definedName>
    <definedName name="zahrnsazby">#REF!</definedName>
    <definedName name="zahrnslevy" localSheetId="1">#REF!</definedName>
    <definedName name="zahrnslevy" localSheetId="2">#REF!</definedName>
    <definedName name="zahrnslevy" localSheetId="3">#REF!</definedName>
    <definedName name="zahrnslevy" localSheetId="4">#REF!</definedName>
    <definedName name="zahrnslevy">#REF!</definedName>
    <definedName name="Zakazka" localSheetId="0">#REF!</definedName>
    <definedName name="Zakazka" localSheetId="1">#REF!</definedName>
    <definedName name="Zakazka" localSheetId="2">#REF!</definedName>
    <definedName name="Zakazka" localSheetId="3">#REF!</definedName>
    <definedName name="Zakazka" localSheetId="4">#REF!</definedName>
    <definedName name="Zakazka">#REF!</definedName>
    <definedName name="Zaklad22" localSheetId="0">#REF!</definedName>
    <definedName name="Zaklad22" localSheetId="1">#REF!</definedName>
    <definedName name="Zaklad22" localSheetId="2">#REF!</definedName>
    <definedName name="Zaklad22" localSheetId="3">#REF!</definedName>
    <definedName name="Zaklad22" localSheetId="4">#REF!</definedName>
    <definedName name="Zaklad22">#REF!</definedName>
    <definedName name="Zaklad5" localSheetId="0">#REF!</definedName>
    <definedName name="Zaklad5" localSheetId="1">#REF!</definedName>
    <definedName name="Zaklad5" localSheetId="2">#REF!</definedName>
    <definedName name="Zaklad5" localSheetId="3">#REF!</definedName>
    <definedName name="Zaklad5" localSheetId="4">#REF!</definedName>
    <definedName name="Zaklad5">#REF!</definedName>
    <definedName name="Zhotovitel" localSheetId="0">KL!$D$7</definedName>
    <definedName name="Zhotovitel" localSheetId="1">#REF!</definedName>
    <definedName name="Zhotovitel" localSheetId="2">#REF!</definedName>
    <definedName name="Zhotovitel" localSheetId="3">#REF!</definedName>
    <definedName name="Zhotovitel" localSheetId="4">#REF!</definedName>
    <definedName name="Zhotovitel" localSheetId="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4" i="25" l="1"/>
  <c r="F104" i="25"/>
  <c r="F414" i="24"/>
  <c r="F135" i="24"/>
  <c r="F422" i="23"/>
  <c r="F154" i="23"/>
  <c r="F343" i="20"/>
  <c r="F70" i="20"/>
  <c r="F224" i="20"/>
  <c r="H224" i="20" s="1"/>
  <c r="H223" i="20" s="1"/>
  <c r="F90" i="20" l="1"/>
  <c r="H90" i="20" s="1"/>
  <c r="G30" i="27" l="1"/>
  <c r="H30" i="27"/>
  <c r="H32" i="27"/>
  <c r="I32" i="27" s="1"/>
  <c r="F32" i="27" l="1"/>
  <c r="F186" i="20" l="1"/>
  <c r="F175" i="20"/>
  <c r="F314" i="20"/>
  <c r="F299" i="20"/>
  <c r="F298" i="20" s="1"/>
  <c r="H298" i="20" s="1"/>
  <c r="F284" i="20"/>
  <c r="F283" i="20" s="1"/>
  <c r="H283" i="20" s="1"/>
  <c r="F342" i="20"/>
  <c r="F128" i="20"/>
  <c r="F127" i="20" s="1"/>
  <c r="H127" i="20" s="1"/>
  <c r="F117" i="20"/>
  <c r="F116" i="20" s="1"/>
  <c r="H116" i="20" s="1"/>
  <c r="F107" i="20"/>
  <c r="F72" i="20"/>
  <c r="F71" i="20" s="1"/>
  <c r="H71" i="20" s="1"/>
  <c r="F68" i="20"/>
  <c r="H68" i="20" s="1"/>
  <c r="H67" i="20" s="1"/>
  <c r="F57" i="20"/>
  <c r="F56" i="20" s="1"/>
  <c r="F370" i="20"/>
  <c r="H370" i="20" s="1"/>
  <c r="F363" i="20"/>
  <c r="H363" i="20" s="1"/>
  <c r="H362" i="20" s="1"/>
  <c r="F359" i="20"/>
  <c r="H359" i="20" s="1"/>
  <c r="F356" i="20"/>
  <c r="H356" i="20" s="1"/>
  <c r="H355" i="20" s="1"/>
  <c r="F352" i="20"/>
  <c r="H352" i="20" s="1"/>
  <c r="F338" i="20"/>
  <c r="H338" i="20" s="1"/>
  <c r="F327" i="20"/>
  <c r="H327" i="20" s="1"/>
  <c r="H326" i="20" s="1"/>
  <c r="F323" i="20"/>
  <c r="H323" i="20" s="1"/>
  <c r="F313" i="20"/>
  <c r="H313" i="20" s="1"/>
  <c r="H312" i="20" s="1"/>
  <c r="F309" i="20"/>
  <c r="H309" i="20" s="1"/>
  <c r="F294" i="20"/>
  <c r="H294" i="20" s="1"/>
  <c r="F279" i="20"/>
  <c r="H279" i="20" s="1"/>
  <c r="F268" i="20"/>
  <c r="H268" i="20" s="1"/>
  <c r="F264" i="20"/>
  <c r="H264" i="20" s="1"/>
  <c r="F254" i="20"/>
  <c r="H254" i="20" s="1"/>
  <c r="F248" i="20"/>
  <c r="H248" i="20" s="1"/>
  <c r="F242" i="20"/>
  <c r="H242" i="20" s="1"/>
  <c r="F235" i="20"/>
  <c r="H235" i="20" s="1"/>
  <c r="H234" i="20" s="1"/>
  <c r="F220" i="20"/>
  <c r="H220" i="20" s="1"/>
  <c r="F209" i="20"/>
  <c r="H209" i="20" s="1"/>
  <c r="F205" i="20"/>
  <c r="H205" i="20" s="1"/>
  <c r="F195" i="20"/>
  <c r="H195" i="20" s="1"/>
  <c r="F184" i="20"/>
  <c r="H184" i="20" s="1"/>
  <c r="F173" i="20"/>
  <c r="H173" i="20" s="1"/>
  <c r="H172" i="20" s="1"/>
  <c r="F164" i="20"/>
  <c r="H164" i="20" s="1"/>
  <c r="H163" i="20" s="1"/>
  <c r="F152" i="20"/>
  <c r="H152" i="20" s="1"/>
  <c r="H151" i="20" s="1"/>
  <c r="F158" i="20"/>
  <c r="H158" i="20" s="1"/>
  <c r="H157" i="20" s="1"/>
  <c r="F146" i="20"/>
  <c r="H146" i="20" s="1"/>
  <c r="H145" i="20" s="1"/>
  <c r="F140" i="20"/>
  <c r="H140" i="20" s="1"/>
  <c r="H139" i="20" s="1"/>
  <c r="F136" i="20"/>
  <c r="H136" i="20" s="1"/>
  <c r="F106" i="20"/>
  <c r="H106" i="20" s="1"/>
  <c r="H105" i="20" s="1"/>
  <c r="F102" i="20"/>
  <c r="H102" i="20" s="1"/>
  <c r="H89" i="20" s="1"/>
  <c r="F86" i="20"/>
  <c r="H86" i="20" s="1"/>
  <c r="F78" i="20"/>
  <c r="H78" i="20" s="1"/>
  <c r="H77" i="20" s="1"/>
  <c r="F74" i="20"/>
  <c r="F49" i="20"/>
  <c r="H49" i="20" s="1"/>
  <c r="F43" i="20"/>
  <c r="H43" i="20" s="1"/>
  <c r="F36" i="20"/>
  <c r="F23" i="20"/>
  <c r="H23" i="20" s="1"/>
  <c r="H22" i="20" s="1"/>
  <c r="F10" i="20"/>
  <c r="H10" i="20" s="1"/>
  <c r="H9" i="20" s="1"/>
  <c r="F225" i="24"/>
  <c r="H225" i="24" s="1"/>
  <c r="H224" i="24" s="1"/>
  <c r="F219" i="24"/>
  <c r="H219" i="24" s="1"/>
  <c r="H218" i="24" s="1"/>
  <c r="F242" i="23"/>
  <c r="H242" i="23" s="1"/>
  <c r="H241" i="23" s="1"/>
  <c r="F236" i="23"/>
  <c r="H236" i="23" s="1"/>
  <c r="H235" i="23" s="1"/>
  <c r="H56" i="20" l="1"/>
  <c r="H55" i="20" s="1"/>
  <c r="H208" i="20"/>
  <c r="H342" i="20"/>
  <c r="H341" i="20" s="1"/>
  <c r="H282" i="20"/>
  <c r="H297" i="20"/>
  <c r="H74" i="20"/>
  <c r="H73" i="20" s="1"/>
  <c r="H35" i="20"/>
  <c r="H8" i="20" s="1"/>
  <c r="H36" i="20"/>
  <c r="H42" i="20"/>
  <c r="H267" i="20"/>
  <c r="H76" i="20" s="1"/>
  <c r="H361" i="20"/>
  <c r="H373" i="20" l="1"/>
  <c r="F345" i="23"/>
  <c r="H345" i="23" s="1"/>
  <c r="F67" i="23"/>
  <c r="H67" i="23" s="1"/>
  <c r="F393" i="23"/>
  <c r="F392" i="23" s="1"/>
  <c r="H392" i="23" s="1"/>
  <c r="F378" i="23"/>
  <c r="F377" i="23" s="1"/>
  <c r="H377" i="23" s="1"/>
  <c r="F363" i="23"/>
  <c r="F362" i="23" s="1"/>
  <c r="H362" i="23" s="1"/>
  <c r="F259" i="23"/>
  <c r="F257" i="23" s="1"/>
  <c r="H257" i="23" s="1"/>
  <c r="F212" i="23"/>
  <c r="F201" i="23"/>
  <c r="F200" i="23" s="1"/>
  <c r="H200" i="23" s="1"/>
  <c r="F191" i="23"/>
  <c r="F190" i="23" s="1"/>
  <c r="H190" i="23" s="1"/>
  <c r="F103" i="23"/>
  <c r="H103" i="23" s="1"/>
  <c r="F142" i="23"/>
  <c r="F141" i="23" s="1"/>
  <c r="H141" i="23" s="1"/>
  <c r="F152" i="23"/>
  <c r="F150" i="23" s="1"/>
  <c r="H150" i="23" s="1"/>
  <c r="F153" i="23"/>
  <c r="H153" i="23" s="1"/>
  <c r="F100" i="23"/>
  <c r="F99" i="23" s="1"/>
  <c r="H99" i="23" s="1"/>
  <c r="F96" i="23"/>
  <c r="F95" i="23" s="1"/>
  <c r="H95" i="23" s="1"/>
  <c r="F36" i="23"/>
  <c r="H36" i="23" s="1"/>
  <c r="F43" i="23"/>
  <c r="F42" i="23" s="1"/>
  <c r="H42" i="23" s="1"/>
  <c r="F55" i="23"/>
  <c r="F54" i="23" s="1"/>
  <c r="H54" i="23" s="1"/>
  <c r="F449" i="23"/>
  <c r="H449" i="23" s="1"/>
  <c r="F442" i="23"/>
  <c r="H442" i="23" s="1"/>
  <c r="F438" i="23"/>
  <c r="H438" i="23" s="1"/>
  <c r="F435" i="23"/>
  <c r="H435" i="23" s="1"/>
  <c r="F431" i="23"/>
  <c r="H431" i="23" s="1"/>
  <c r="F421" i="23"/>
  <c r="H421" i="23" s="1"/>
  <c r="F417" i="23"/>
  <c r="H417" i="23" s="1"/>
  <c r="F406" i="23"/>
  <c r="H406" i="23" s="1"/>
  <c r="H405" i="23" s="1"/>
  <c r="F402" i="23"/>
  <c r="H402" i="23" s="1"/>
  <c r="F388" i="23"/>
  <c r="H388" i="23" s="1"/>
  <c r="F373" i="23"/>
  <c r="H373" i="23" s="1"/>
  <c r="F358" i="23"/>
  <c r="H358" i="23" s="1"/>
  <c r="F347" i="23"/>
  <c r="H347" i="23" s="1"/>
  <c r="F341" i="23"/>
  <c r="H341" i="23" s="1"/>
  <c r="F331" i="23"/>
  <c r="H331" i="23" s="1"/>
  <c r="F325" i="23"/>
  <c r="H325" i="23" s="1"/>
  <c r="F319" i="23"/>
  <c r="H319" i="23" s="1"/>
  <c r="F312" i="23"/>
  <c r="H312" i="23" s="1"/>
  <c r="F308" i="23"/>
  <c r="H308" i="23" s="1"/>
  <c r="F304" i="23"/>
  <c r="H304" i="23" s="1"/>
  <c r="F293" i="23"/>
  <c r="H293" i="23" s="1"/>
  <c r="H292" i="23" s="1"/>
  <c r="F289" i="23"/>
  <c r="H289" i="23" s="1"/>
  <c r="F279" i="23"/>
  <c r="H279" i="23" s="1"/>
  <c r="F268" i="23"/>
  <c r="H268" i="23" s="1"/>
  <c r="F248" i="23"/>
  <c r="H248" i="23" s="1"/>
  <c r="H247" i="23" s="1"/>
  <c r="F230" i="23"/>
  <c r="H230" i="23" s="1"/>
  <c r="H229" i="23" s="1"/>
  <c r="F224" i="23"/>
  <c r="H224" i="23" s="1"/>
  <c r="H223" i="23" s="1"/>
  <c r="F220" i="23"/>
  <c r="H220" i="23" s="1"/>
  <c r="F211" i="23"/>
  <c r="H211" i="23" s="1"/>
  <c r="F186" i="23"/>
  <c r="H186" i="23" s="1"/>
  <c r="F173" i="23"/>
  <c r="H173" i="23" s="1"/>
  <c r="H172" i="23" s="1"/>
  <c r="F169" i="23"/>
  <c r="H169" i="23" s="1"/>
  <c r="F161" i="23"/>
  <c r="H161" i="23" s="1"/>
  <c r="H160" i="23" s="1"/>
  <c r="F156" i="23"/>
  <c r="H156" i="23" s="1"/>
  <c r="H155" i="23" s="1"/>
  <c r="F135" i="23"/>
  <c r="H135" i="23" s="1"/>
  <c r="F129" i="23"/>
  <c r="H129" i="23" s="1"/>
  <c r="F125" i="23"/>
  <c r="H125" i="23" s="1"/>
  <c r="F121" i="23"/>
  <c r="H121" i="23" s="1"/>
  <c r="F116" i="23"/>
  <c r="H116" i="23" s="1"/>
  <c r="F109" i="23"/>
  <c r="H109" i="23" s="1"/>
  <c r="F85" i="23"/>
  <c r="H85" i="23" s="1"/>
  <c r="F74" i="23"/>
  <c r="H74" i="23" s="1"/>
  <c r="F61" i="23"/>
  <c r="H61" i="23" s="1"/>
  <c r="H60" i="23" s="1"/>
  <c r="F48" i="23"/>
  <c r="H48" i="23" s="1"/>
  <c r="F23" i="23"/>
  <c r="H23" i="23" s="1"/>
  <c r="H22" i="23" s="1"/>
  <c r="F10" i="23"/>
  <c r="H10" i="23" s="1"/>
  <c r="H9" i="23" s="1"/>
  <c r="F231" i="24"/>
  <c r="H231" i="24" s="1"/>
  <c r="H230" i="24" s="1"/>
  <c r="F370" i="24"/>
  <c r="F369" i="24"/>
  <c r="H369" i="24" s="1"/>
  <c r="H434" i="23" l="1"/>
  <c r="H441" i="23"/>
  <c r="H440" i="23" s="1"/>
  <c r="H256" i="23"/>
  <c r="H361" i="23"/>
  <c r="H35" i="23"/>
  <c r="H376" i="23"/>
  <c r="H189" i="23"/>
  <c r="H159" i="23" s="1"/>
  <c r="H94" i="23"/>
  <c r="H391" i="23"/>
  <c r="H344" i="23"/>
  <c r="H73" i="23"/>
  <c r="H311" i="23"/>
  <c r="H420" i="23"/>
  <c r="H8" i="23" l="1"/>
  <c r="H452" i="23" s="1"/>
  <c r="F359" i="24" l="1"/>
  <c r="F385" i="24"/>
  <c r="F344" i="24"/>
  <c r="F174" i="25"/>
  <c r="H174" i="25" s="1"/>
  <c r="H173" i="25" s="1"/>
  <c r="F213" i="24"/>
  <c r="H213" i="24" s="1"/>
  <c r="H212" i="24" s="1"/>
  <c r="F207" i="24"/>
  <c r="H207" i="24" s="1"/>
  <c r="H206" i="24" s="1"/>
  <c r="F264" i="24"/>
  <c r="F253" i="24"/>
  <c r="F242" i="24"/>
  <c r="F105" i="24"/>
  <c r="F104" i="24" s="1"/>
  <c r="H104" i="24" s="1"/>
  <c r="F157" i="24"/>
  <c r="F145" i="24"/>
  <c r="F287" i="24"/>
  <c r="H287" i="24" s="1"/>
  <c r="F109" i="24"/>
  <c r="F108" i="24" s="1"/>
  <c r="H108" i="24" s="1"/>
  <c r="F100" i="24" l="1"/>
  <c r="F94" i="24"/>
  <c r="F92" i="24" s="1"/>
  <c r="H92" i="24" s="1"/>
  <c r="F125" i="24"/>
  <c r="F133" i="24"/>
  <c r="F137" i="24"/>
  <c r="F136" i="24" s="1"/>
  <c r="F89" i="24"/>
  <c r="F85" i="24"/>
  <c r="F195" i="24"/>
  <c r="F184" i="24"/>
  <c r="F174" i="24"/>
  <c r="F60" i="24"/>
  <c r="F50" i="24"/>
  <c r="F99" i="24" l="1"/>
  <c r="H99" i="24" s="1"/>
  <c r="F37" i="24" l="1"/>
  <c r="F36" i="24" s="1"/>
  <c r="H36" i="24" s="1"/>
  <c r="F42" i="24"/>
  <c r="H42" i="24" s="1"/>
  <c r="F124" i="24"/>
  <c r="H124" i="24" s="1"/>
  <c r="F118" i="24"/>
  <c r="H118" i="24" s="1"/>
  <c r="F112" i="24"/>
  <c r="H112" i="24" s="1"/>
  <c r="F88" i="24"/>
  <c r="H88" i="24" s="1"/>
  <c r="F84" i="24"/>
  <c r="H84" i="24" s="1"/>
  <c r="F59" i="24"/>
  <c r="H59" i="24" s="1"/>
  <c r="H35" i="24" l="1"/>
  <c r="F219" i="25"/>
  <c r="F212" i="25"/>
  <c r="F182" i="25"/>
  <c r="F151" i="25"/>
  <c r="F162" i="25"/>
  <c r="F112" i="25"/>
  <c r="F102" i="25"/>
  <c r="F100" i="25" s="1"/>
  <c r="F103" i="25"/>
  <c r="F81" i="25"/>
  <c r="F79" i="25" s="1"/>
  <c r="H79" i="25" s="1"/>
  <c r="F85" i="25"/>
  <c r="H85" i="25" s="1"/>
  <c r="F76" i="25"/>
  <c r="F75" i="25" s="1"/>
  <c r="H75" i="25" s="1"/>
  <c r="F72" i="25"/>
  <c r="F71" i="25" s="1"/>
  <c r="H71" i="25" s="1"/>
  <c r="F47" i="25" l="1"/>
  <c r="F35" i="25"/>
  <c r="E10" i="26" l="1"/>
  <c r="G10" i="26"/>
  <c r="E13" i="26"/>
  <c r="G13" i="26"/>
  <c r="E16" i="26"/>
  <c r="G16" i="26"/>
  <c r="E19" i="26"/>
  <c r="G19" i="26"/>
  <c r="E23" i="26"/>
  <c r="G23" i="26"/>
  <c r="E28" i="26"/>
  <c r="G28" i="26" s="1"/>
  <c r="E32" i="26"/>
  <c r="E33" i="26"/>
  <c r="G33" i="26"/>
  <c r="E36" i="26"/>
  <c r="G36" i="26"/>
  <c r="E41" i="26"/>
  <c r="G41" i="26" s="1"/>
  <c r="E45" i="26"/>
  <c r="G45" i="26"/>
  <c r="E49" i="26"/>
  <c r="G49" i="26"/>
  <c r="E54" i="26"/>
  <c r="G54" i="26"/>
  <c r="G53" i="26" s="1"/>
  <c r="E61" i="26"/>
  <c r="E58" i="26" s="1"/>
  <c r="G58" i="26" s="1"/>
  <c r="G57" i="26" s="1"/>
  <c r="E65" i="26"/>
  <c r="E62" i="26" s="1"/>
  <c r="G62" i="26" s="1"/>
  <c r="E67" i="26"/>
  <c r="G67" i="26"/>
  <c r="E72" i="26"/>
  <c r="G72" i="26"/>
  <c r="E77" i="26"/>
  <c r="G77" i="26"/>
  <c r="E81" i="26"/>
  <c r="G81" i="26"/>
  <c r="G40" i="26" l="1"/>
  <c r="G66" i="26"/>
  <c r="G9" i="26"/>
  <c r="G22" i="26"/>
  <c r="H37" i="27"/>
  <c r="I37" i="27" s="1"/>
  <c r="F37" i="27" s="1"/>
  <c r="F253" i="25" l="1"/>
  <c r="H253" i="25" s="1"/>
  <c r="F239" i="25"/>
  <c r="H239" i="25" s="1"/>
  <c r="F228" i="25"/>
  <c r="F224" i="25"/>
  <c r="H224" i="25" s="1"/>
  <c r="F206" i="25"/>
  <c r="H206" i="25" s="1"/>
  <c r="F195" i="25"/>
  <c r="F191" i="25"/>
  <c r="H191" i="25" s="1"/>
  <c r="F170" i="25"/>
  <c r="H170" i="25" s="1"/>
  <c r="F161" i="25"/>
  <c r="H161" i="25" s="1"/>
  <c r="F150" i="25"/>
  <c r="H150" i="25" s="1"/>
  <c r="F140" i="25"/>
  <c r="H140" i="25" s="1"/>
  <c r="H139" i="25" s="1"/>
  <c r="F136" i="25"/>
  <c r="H136" i="25" s="1"/>
  <c r="F123" i="25"/>
  <c r="H123" i="25" s="1"/>
  <c r="F119" i="25"/>
  <c r="H119" i="25" s="1"/>
  <c r="F106" i="25"/>
  <c r="H106" i="25" s="1"/>
  <c r="H105" i="25" s="1"/>
  <c r="F91" i="25"/>
  <c r="H91" i="25" s="1"/>
  <c r="F57" i="25"/>
  <c r="H57" i="25" s="1"/>
  <c r="F46" i="25"/>
  <c r="H46" i="25" s="1"/>
  <c r="F34" i="25"/>
  <c r="H34" i="25" s="1"/>
  <c r="H33" i="25" s="1"/>
  <c r="F27" i="25"/>
  <c r="H27" i="25" s="1"/>
  <c r="F25" i="25"/>
  <c r="F23" i="25" s="1"/>
  <c r="F10" i="25"/>
  <c r="H10" i="25" s="1"/>
  <c r="H9" i="25" s="1"/>
  <c r="F441" i="24"/>
  <c r="H441" i="24" s="1"/>
  <c r="F434" i="24"/>
  <c r="F430" i="24"/>
  <c r="H430" i="24" s="1"/>
  <c r="F427" i="24"/>
  <c r="H427" i="24" s="1"/>
  <c r="H426" i="24" s="1"/>
  <c r="F423" i="24"/>
  <c r="H423" i="24" s="1"/>
  <c r="F409" i="24"/>
  <c r="H409" i="24" s="1"/>
  <c r="F398" i="24"/>
  <c r="H398" i="24" s="1"/>
  <c r="F394" i="24"/>
  <c r="H394" i="24" s="1"/>
  <c r="F384" i="24"/>
  <c r="H384" i="24" s="1"/>
  <c r="H383" i="24" s="1"/>
  <c r="F380" i="24"/>
  <c r="H380" i="24" s="1"/>
  <c r="F358" i="24"/>
  <c r="H358" i="24" s="1"/>
  <c r="F354" i="24"/>
  <c r="H354" i="24" s="1"/>
  <c r="F343" i="24"/>
  <c r="H343" i="24" s="1"/>
  <c r="H342" i="24" s="1"/>
  <c r="F339" i="24"/>
  <c r="H339" i="24" s="1"/>
  <c r="F328" i="24"/>
  <c r="F324" i="24"/>
  <c r="H324" i="24" s="1"/>
  <c r="F314" i="24"/>
  <c r="H314" i="24" s="1"/>
  <c r="F291" i="24"/>
  <c r="H291" i="24" s="1"/>
  <c r="F276" i="24"/>
  <c r="H276" i="24" s="1"/>
  <c r="H275" i="24" s="1"/>
  <c r="F272" i="24"/>
  <c r="H272" i="24" s="1"/>
  <c r="F251" i="24"/>
  <c r="H251" i="24" s="1"/>
  <c r="F203" i="24"/>
  <c r="H203" i="24" s="1"/>
  <c r="F194" i="24"/>
  <c r="H194" i="24" s="1"/>
  <c r="F183" i="24"/>
  <c r="H183" i="24" s="1"/>
  <c r="F173" i="24"/>
  <c r="H173" i="24" s="1"/>
  <c r="H172" i="24" s="1"/>
  <c r="F169" i="24"/>
  <c r="H169" i="24" s="1"/>
  <c r="F156" i="24"/>
  <c r="H156" i="24" s="1"/>
  <c r="F152" i="24"/>
  <c r="H152" i="24" s="1"/>
  <c r="F139" i="24"/>
  <c r="H139" i="24" s="1"/>
  <c r="F79" i="24"/>
  <c r="H79" i="24" s="1"/>
  <c r="F70" i="24"/>
  <c r="H70" i="24" s="1"/>
  <c r="H58" i="24" s="1"/>
  <c r="F49" i="24"/>
  <c r="H49" i="24" s="1"/>
  <c r="H48" i="24" s="1"/>
  <c r="F23" i="24"/>
  <c r="F10" i="24"/>
  <c r="H10" i="24" s="1"/>
  <c r="H9" i="24" s="1"/>
  <c r="H357" i="24" l="1"/>
  <c r="H397" i="24"/>
  <c r="H70" i="25"/>
  <c r="H155" i="24"/>
  <c r="H122" i="25"/>
  <c r="F308" i="24"/>
  <c r="H308" i="24" s="1"/>
  <c r="H328" i="24"/>
  <c r="H327" i="24" s="1"/>
  <c r="H23" i="24"/>
  <c r="H22" i="24" s="1"/>
  <c r="H434" i="24"/>
  <c r="H433" i="24" s="1"/>
  <c r="H432" i="24" s="1"/>
  <c r="F144" i="24"/>
  <c r="H144" i="24" s="1"/>
  <c r="H143" i="24" s="1"/>
  <c r="F413" i="24"/>
  <c r="F295" i="24"/>
  <c r="H295" i="24" s="1"/>
  <c r="H294" i="24" s="1"/>
  <c r="F217" i="25"/>
  <c r="H217" i="25" s="1"/>
  <c r="F243" i="25"/>
  <c r="H243" i="25" s="1"/>
  <c r="H242" i="25" s="1"/>
  <c r="H103" i="25"/>
  <c r="H100" i="25"/>
  <c r="H195" i="25"/>
  <c r="H194" i="25" s="1"/>
  <c r="F111" i="25"/>
  <c r="F180" i="25"/>
  <c r="H180" i="25" s="1"/>
  <c r="H179" i="25" s="1"/>
  <c r="F210" i="25"/>
  <c r="H210" i="25" s="1"/>
  <c r="H209" i="25" s="1"/>
  <c r="H228" i="25"/>
  <c r="H227" i="25" s="1"/>
  <c r="H23" i="25"/>
  <c r="H22" i="25" s="1"/>
  <c r="H133" i="24"/>
  <c r="H83" i="24" s="1"/>
  <c r="H138" i="24"/>
  <c r="F262" i="24"/>
  <c r="H262" i="24" s="1"/>
  <c r="F302" i="24"/>
  <c r="H302" i="24" s="1"/>
  <c r="H136" i="24"/>
  <c r="F240" i="24"/>
  <c r="H8" i="24" l="1"/>
  <c r="H413" i="24"/>
  <c r="H412" i="24" s="1"/>
  <c r="H240" i="24"/>
  <c r="H239" i="24" s="1"/>
  <c r="H8" i="25"/>
  <c r="H111" i="25"/>
  <c r="H110" i="25" s="1"/>
  <c r="H109" i="25" s="1"/>
  <c r="H142" i="24" l="1"/>
  <c r="H454" i="23"/>
  <c r="H34" i="27" s="1"/>
  <c r="H256" i="25"/>
  <c r="H258" i="25" s="1"/>
  <c r="H36" i="27" s="1"/>
  <c r="H375" i="20"/>
  <c r="H33" i="27" s="1"/>
  <c r="H444" i="24" l="1"/>
  <c r="H446" i="24" s="1"/>
  <c r="H35" i="27" s="1"/>
  <c r="I33" i="27"/>
  <c r="F33" i="27" s="1"/>
  <c r="I34" i="27"/>
  <c r="F34" i="27" s="1"/>
  <c r="I36" i="27"/>
  <c r="F36" i="27" s="1"/>
  <c r="I35" i="27" l="1"/>
  <c r="H38" i="27"/>
  <c r="I22" i="27" s="1"/>
  <c r="I38" i="27"/>
  <c r="I23" i="27" s="1"/>
  <c r="F35" i="27"/>
  <c r="F38" i="27" s="1"/>
  <c r="I24" i="27" l="1"/>
</calcChain>
</file>

<file path=xl/sharedStrings.xml><?xml version="1.0" encoding="utf-8"?>
<sst xmlns="http://schemas.openxmlformats.org/spreadsheetml/2006/main" count="2624" uniqueCount="665">
  <si>
    <t>Celkem</t>
  </si>
  <si>
    <t>Poznámka:</t>
  </si>
  <si>
    <t>Stavba :</t>
  </si>
  <si>
    <t xml:space="preserve">Investor : </t>
  </si>
  <si>
    <t>TECHNICO Opava s.r.o., Hradecká 1576/51, 746 01 Opava</t>
  </si>
  <si>
    <t>Za investora :</t>
  </si>
  <si>
    <t>_______________</t>
  </si>
  <si>
    <t>Rozpočtové náklady</t>
  </si>
  <si>
    <t>%</t>
  </si>
  <si>
    <t xml:space="preserve">DPH </t>
  </si>
  <si>
    <t>Rekapitulace stavebních objektů a provozních souborů</t>
  </si>
  <si>
    <t>Číslo a název objektu / provozního souboru</t>
  </si>
  <si>
    <t>Vedlejší rozpočtové a ostatní náklady</t>
  </si>
  <si>
    <t>Celkem za stavbu</t>
  </si>
  <si>
    <t>Vedlejší rozpočtové náklady, náklady na provoz a zařízení staveniště, apod. a přesuny hmot u PSV jsou zahrnuty v jednotkových cenách jednotlivých položek - není-li uvedeno jinak.</t>
  </si>
  <si>
    <t>Propočet nákladů</t>
  </si>
  <si>
    <t xml:space="preserve">Zhotovitel soupisu : </t>
  </si>
  <si>
    <t xml:space="preserve">Vypracoval: </t>
  </si>
  <si>
    <t xml:space="preserve">Uchazeč: </t>
  </si>
  <si>
    <t xml:space="preserve">                                                                                               Za uchazeče :</t>
  </si>
  <si>
    <t xml:space="preserve">                                                                                                _______________</t>
  </si>
  <si>
    <t xml:space="preserve">  _______________</t>
  </si>
  <si>
    <t>Cenová soustava</t>
  </si>
  <si>
    <t>sada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</si>
  <si>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</si>
  <si>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</si>
  <si>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</si>
  <si>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Za zhotovitele propočtu :</t>
  </si>
  <si>
    <t xml:space="preserve">Zhotovitel je povinen se řádně seznámit s projektovou dokumentací  a provést na svůj náklad a své nebezpečí veškeré práce a dodávky, které jsou v projektové dokumentaci obsaženy, bez ohledu na to, zda jsou obsaženy v textové a nebo ve výkresové části, jakož i práce uvedené v soupisu prací. </t>
  </si>
  <si>
    <t>V souladu se zákonem o veřejných zakázkách č.134/2016 Sb. uvedené odkazy na typový výrobek v této dokumentaci slouží pouze pro specifikaci technických parametrů a jejich kvalitativního standardu.</t>
  </si>
  <si>
    <t>PROPOČET NÁKLADŮ</t>
  </si>
  <si>
    <t>P.Č.</t>
  </si>
  <si>
    <t>KCN</t>
  </si>
  <si>
    <t>Kód položky</t>
  </si>
  <si>
    <t>Popis</t>
  </si>
  <si>
    <t>MJ</t>
  </si>
  <si>
    <t>Množství celkem</t>
  </si>
  <si>
    <t>Cena jednotková</t>
  </si>
  <si>
    <t>1</t>
  </si>
  <si>
    <t>2</t>
  </si>
  <si>
    <t>HSV</t>
  </si>
  <si>
    <t>Práce a dodávky HSV</t>
  </si>
  <si>
    <t>Zemní práce</t>
  </si>
  <si>
    <t>001</t>
  </si>
  <si>
    <t>hod</t>
  </si>
  <si>
    <t>CS ÚRS 2023 02</t>
  </si>
  <si>
    <t>m</t>
  </si>
  <si>
    <t>m3</t>
  </si>
  <si>
    <t>m2</t>
  </si>
  <si>
    <t xml:space="preserve">CS ÚRS/TEO 2023 02 </t>
  </si>
  <si>
    <r>
      <t>"  Včetně naložení, svislého a vodorovného přesunu zeminy / sypaniny / výkopku. 
Likvidace v souladu se zákonem č. 541/2020 Sb.</t>
    </r>
    <r>
      <rPr>
        <sz val="8"/>
        <color rgb="FF0000FF"/>
        <rFont val="Arial CE"/>
        <family val="2"/>
        <charset val="238"/>
      </rPr>
      <t xml:space="preserve"> O odpadech vč. správného začleněné dle přílohy č. 1 vyhlášky č. 8/2021 o Katalogu odpadů a posuzování vlastností odpadů (Katalog odpadů).</t>
    </r>
    <r>
      <rPr>
        <sz val="8"/>
        <color rgb="FFFF0000"/>
        <rFont val="Arial CE"/>
        <family val="2"/>
        <charset val="238"/>
      </rPr>
      <t xml:space="preserve"> 
</t>
    </r>
    <r>
      <rPr>
        <sz val="8"/>
        <color indexed="12"/>
        <rFont val="Arial CE"/>
        <family val="2"/>
        <charset val="238"/>
      </rPr>
      <t>Likvidace dle technologie na místa určené zhotovitelem, včetně poplatků za uložení zeminy / sypaniny / výkopku. "</t>
    </r>
  </si>
  <si>
    <t>Vodorovné konstrukce</t>
  </si>
  <si>
    <t>99</t>
  </si>
  <si>
    <t>Přesun hmot</t>
  </si>
  <si>
    <t>HZS</t>
  </si>
  <si>
    <t>PSV</t>
  </si>
  <si>
    <t>Práce a dodávky PSV</t>
  </si>
  <si>
    <t>"  Včetně naložení, svislého a vodorovného přesunu suti, odvoz stavební suti. 
Likvidace v souladu se zákonem č. 541/2020 Sb. O odpadech vč. správného začlenění dle přílohy č. 1 vyhlášky č. 8/2021 o Katalogu odpadů a posuzování vlastností odpadů (Katalog odpadů). 
Likvidace dle technologie na místa určené zhotovitelem, včetně poplatků za uložení odpadu. "</t>
  </si>
  <si>
    <t>CS ÚRS/TEO 2023 02</t>
  </si>
  <si>
    <t>721</t>
  </si>
  <si>
    <t xml:space="preserve">" 1. NP " </t>
  </si>
  <si>
    <t>" Stávající objekt "</t>
  </si>
  <si>
    <t>HZS2492</t>
  </si>
  <si>
    <t>Hodinová zúčtovací sazba pomocný dělník PSV</t>
  </si>
  <si>
    <t xml:space="preserve">" Zednická výpomoc, doplňkové práce,kompletace apod." </t>
  </si>
  <si>
    <t>CELKEM</t>
  </si>
  <si>
    <t>Jednotkové položky zahrnují vedlejší rozpočtové náklady, náklady na montáž, dopravu, apod. a předepsané zkoušky, revize, manipulační řády, zaškolení obsluhy, není-li uvedeno jinak.</t>
  </si>
  <si>
    <t xml:space="preserve">" Zednická výpomoc,doplňkové práce,kompletace,zřízení prostupů,zapravení prostupů, apod." </t>
  </si>
  <si>
    <t>HZS2311</t>
  </si>
  <si>
    <t>Hodinová zúčtovací sazba malíř, natěrač, lakýrník</t>
  </si>
  <si>
    <t>M</t>
  </si>
  <si>
    <t>Práce a dodávky M</t>
  </si>
  <si>
    <t>3</t>
  </si>
  <si>
    <t>4</t>
  </si>
  <si>
    <t>5</t>
  </si>
  <si>
    <t>6</t>
  </si>
  <si>
    <t>7</t>
  </si>
  <si>
    <t>8a</t>
  </si>
  <si>
    <t>9</t>
  </si>
  <si>
    <t>17</t>
  </si>
  <si>
    <t>" V ceně: "</t>
  </si>
  <si>
    <t>" Asfaltová komunikace "</t>
  </si>
  <si>
    <t xml:space="preserve">" - Přesun hmot. " </t>
  </si>
  <si>
    <t>998999901 SPC</t>
  </si>
  <si>
    <t>Zakládání</t>
  </si>
  <si>
    <t>Svislé a kompletní konstrukce</t>
  </si>
  <si>
    <t>Úpravy povrchu, podlahy, osazení</t>
  </si>
  <si>
    <t>Ostatní konstrukce a práce-bourání</t>
  </si>
  <si>
    <t>Izolace proti vodě, vlhkosti a plynům</t>
  </si>
  <si>
    <t>Povlakové krytiny</t>
  </si>
  <si>
    <t>Izolace tepelné</t>
  </si>
  <si>
    <t>Konstrukce tesařské</t>
  </si>
  <si>
    <t>Konstrukce suché výstavby</t>
  </si>
  <si>
    <t>Konstrukce klempířské</t>
  </si>
  <si>
    <t>Konstrukce pokrývačské</t>
  </si>
  <si>
    <t>Konstrukce truhlářské</t>
  </si>
  <si>
    <t>Konstrukce zámečnické</t>
  </si>
  <si>
    <t>Podlahy z dlaždic</t>
  </si>
  <si>
    <t>Podlahy povlakové</t>
  </si>
  <si>
    <t>Podlahy lité</t>
  </si>
  <si>
    <t>Obklady keramické</t>
  </si>
  <si>
    <t>Malby a tapety</t>
  </si>
  <si>
    <t>Ostatní práce a dodávky</t>
  </si>
  <si>
    <t>43-M</t>
  </si>
  <si>
    <t xml:space="preserve">Montáže ocelových konstrukcí </t>
  </si>
  <si>
    <t>11399902 SPC</t>
  </si>
  <si>
    <t>" Zemní práce související se stávajícím objektem. "</t>
  </si>
  <si>
    <t xml:space="preserve">" - Čerpání vody. " </t>
  </si>
  <si>
    <t xml:space="preserve">" - Dočasné zajištění stávajícího vedení a prvků. " </t>
  </si>
  <si>
    <t xml:space="preserve">" - Hloubení jam vč. příplatků. " </t>
  </si>
  <si>
    <t xml:space="preserve">" - Případné zřízení a odstranění pažení. " </t>
  </si>
  <si>
    <t xml:space="preserve">" - Přesun zeminy na meziskládku a z meziskládky. " </t>
  </si>
  <si>
    <t xml:space="preserve">" - Zpětný zásyp zeminou vykopanou / dovozenou / dovezeným kamenivem. " </t>
  </si>
  <si>
    <t xml:space="preserve">" - Případný odvoz nepotřebné zeminy na trvalou skládku vč. naložení a poplatků za uložení zeminy (skládkovné) na recyklační skládce. " </t>
  </si>
  <si>
    <t>011</t>
  </si>
  <si>
    <t>274321901 SPC</t>
  </si>
  <si>
    <t>"  Základové konstrukce objektu "</t>
  </si>
  <si>
    <t>" V ceně "</t>
  </si>
  <si>
    <t>" - Doplnění a nová základová deska v místěch prohloubení podlah "</t>
  </si>
  <si>
    <t>" - Základová deska a stěny v místech výtahové šachty "</t>
  </si>
  <si>
    <t>" - Mikropiloty vč. stroje a veškerého příslušenství - vrtů, směsi, injektáže, apod. "</t>
  </si>
  <si>
    <t>" - Bednění pro základové konstrukce - stěny, desky, pásy, apod. "</t>
  </si>
  <si>
    <t>" - Výzuž základových konstrukcí. "</t>
  </si>
  <si>
    <t>" - Podkladní beton. "</t>
  </si>
  <si>
    <t>" - Podsyp pod základové konstrukce. "</t>
  </si>
  <si>
    <t>" - Přesun hmot, případný odvoz a likvidace suti na recyklační skládku"</t>
  </si>
  <si>
    <t>" - Veškeré nutné práce a materiál sousivející s provedením základových konstrukcí "</t>
  </si>
  <si>
    <t>014</t>
  </si>
  <si>
    <t>310238901 SPC</t>
  </si>
  <si>
    <t xml:space="preserve">Zazdívaní a dozdívání původních otvorů cihlami pálenými do pl. 4 m2 </t>
  </si>
  <si>
    <t>" Zazdívání a dozdívání původních otvorů plochy do 4 m2 cihlami plnými pálenými. "</t>
  </si>
  <si>
    <t>" V ceně cihly vč. lože (malty), případné spojovací a kotvící prvky ke stávající konstrukci, úprava zdiva, a další veškeré nutné práce a materiál.
V ceně také přesun hmot. "</t>
  </si>
  <si>
    <t>317999901 SPC</t>
  </si>
  <si>
    <t>" - Přesun hmot. "</t>
  </si>
  <si>
    <t>411322902 SPC</t>
  </si>
  <si>
    <t>Nový strop ze ztraceného bednění z trapézového plechu a betonové ŽB desky</t>
  </si>
  <si>
    <t>" - Trapézový plech jako ztracené bednění. "</t>
  </si>
  <si>
    <t>" - ŽB konstrukce stropu na ztacené bednění. "</t>
  </si>
  <si>
    <t>" - Podpěrná konstrukce pro podepření trapézového plechu. "</t>
  </si>
  <si>
    <t>" - Výztuž do vln plechu a do desky. "</t>
  </si>
  <si>
    <t>" - Případné další nutné práce a materiál pro provedení stropní desky z trapézového plechu a ŽB desky. "</t>
  </si>
  <si>
    <t>611321901 SPC</t>
  </si>
  <si>
    <t>Omítka / oprava omítky vnitřních stropů vč. veškerého příslušenství</t>
  </si>
  <si>
    <t>" - Případné očištění stropů "</t>
  </si>
  <si>
    <t>" - Podkladní vrstva - spojovací můstek / penetrace / postřik, .... "</t>
  </si>
  <si>
    <t>" - Případná armovací síťovina / sklovláknité pletivo pro napojení. "</t>
  </si>
  <si>
    <t>" - Případné doplnění rákosového pletiva. "</t>
  </si>
  <si>
    <t>" - Příplatek za vyšší tloušťku vrstvy omítky. "</t>
  </si>
  <si>
    <t>" - Vnitřní omítka. "</t>
  </si>
  <si>
    <t>" - Veškeré nutné profily, prvky, apod. pro ochranu a omítání kolem otvorů - dilatační, napojovací, začišťovací, apod. "</t>
  </si>
  <si>
    <t>" - Případné další nutné práce a materiál pro provedení vnitřní omítky stěn. "</t>
  </si>
  <si>
    <t>612321901 SPC</t>
  </si>
  <si>
    <t>Omítka / oprava omítky vnitřních stěn vč. veškerého příslušenství</t>
  </si>
  <si>
    <t>" POZN: Množství navýšeno za ztratné, členité plochy apod o 5 % "</t>
  </si>
  <si>
    <t>622811901 SPC</t>
  </si>
  <si>
    <t>Omítky vnějších stěn, včetně říms a ozdobných fasádních prvků, včetně fasádní malby / nátěru  - odborné provedení, členitost fasády III až V vč. doplnění a úpravy</t>
  </si>
  <si>
    <t>" - Příprava podkladu - očištění fasády tlakovou vodou či ručním očištěním. "</t>
  </si>
  <si>
    <t>" - Případné zapravení trhlin vč. veškerých prací - např.: vyčištění, injektíž vč. vrtu, úpravy trhlin, apod. "</t>
  </si>
  <si>
    <t>" - Případná plošná úprava spárování stávajícího zdiva - odstranění nesoudržné malty ze spár, provedení nového spárování, vyklínování cihel vč. veškerých prací a materiálu. "</t>
  </si>
  <si>
    <t>" - Oprava případných navětralých cihel plombováním vč. odstranění narušeného zdiva. "</t>
  </si>
  <si>
    <t>" - Odborné provedení a kopie štukové výzdoby - bosáží, doplnění ozdobných prvků a říms. "</t>
  </si>
  <si>
    <t>" - Fasádní malba / nátěr vhodná na historické objekty vč. přípravy podkladnu a penetrace. "</t>
  </si>
  <si>
    <t>" - Případné další nutné práce a materiál pro provedení vnější omítky stěn. "</t>
  </si>
  <si>
    <t>" Výměra vztažena na pohledovou plochu fasády, do ceny nutno zahrnout plochy říms a zdobných prvků, spodní streny předstupujících konstrukcí, apod. "</t>
  </si>
  <si>
    <t>" - Ochranná geotextílie. "</t>
  </si>
  <si>
    <t>631999101 SPC</t>
  </si>
  <si>
    <t>Úpravy související s vybouráním stávajícího zdiva</t>
  </si>
  <si>
    <t xml:space="preserve">" Úpravy související s vybouráním zdiva - nosného zdiva, příček, apod. " </t>
  </si>
  <si>
    <t>" - Doplnění podlah v místech po vybouraném zdivu - skladba dle stávající. "</t>
  </si>
  <si>
    <t>" - Omítka stěn po vybourání zdiva u napojení na konstrukce vč. případných příplatků za vyšší tloušťku - druh dle stávající. "</t>
  </si>
  <si>
    <t>" - Omítka stropů po vybourání zdiva u napojení na konstrukce vč. případných příplatků za vyšší tloušťku - druh dle stávající. "</t>
  </si>
  <si>
    <t>" - Malby na plochách nových omítek stěn a stropů. "</t>
  </si>
  <si>
    <t>" - Případné další nutné práce a materiál pro provedení úprav po vybouraném zdivu. "</t>
  </si>
  <si>
    <t>634911901 SPC</t>
  </si>
  <si>
    <t>" Vyřezání nutných dilatačních spár v betonu a jejich vyčištění  (stropní konstrukcí, potěru jednotlivých místností, apod), z důvodu dilatace vč. jejich výplně pružným materiálem. "</t>
  </si>
  <si>
    <t>" V ceně veškeré nutné práce související s vyřezáním dilatačních spár a jejich vyplněním vč. Přesunu hmot, odvozu a likvidace suti. na recyklační skládku "</t>
  </si>
  <si>
    <t>003</t>
  </si>
  <si>
    <t>941111901 SPC</t>
  </si>
  <si>
    <t>Venkovní řadové lešení pro stavební práce</t>
  </si>
  <si>
    <t>" Montáž a demontáž řadového lešení "</t>
  </si>
  <si>
    <t>" Pronájem řadového lešení "</t>
  </si>
  <si>
    <t>" Montáž a demontáž ochranné sítě / plachty  "</t>
  </si>
  <si>
    <t>" Pronájem ochranné sítě / plachty "</t>
  </si>
  <si>
    <t>" Montáž a demontáž záchytné stříšky  "</t>
  </si>
  <si>
    <t>" Pronájem záchytné stříšky "</t>
  </si>
  <si>
    <t>949101901 SPC</t>
  </si>
  <si>
    <t>Lešení pomocné pro objekty pozemních staveb</t>
  </si>
  <si>
    <t xml:space="preserve">" Intérierové lešení včetně ochranného zábradlí, podlahových zarážek, závětrování apod. " </t>
  </si>
  <si>
    <t>952901901 SPC</t>
  </si>
  <si>
    <t xml:space="preserve">Vyčištění budov bytové a občanské výstavby </t>
  </si>
  <si>
    <t>Ostatní práce a materiály nespecifikované - pro HSV</t>
  </si>
  <si>
    <t>" Ostatní práce a materiál nespecifikované - HSV "</t>
  </si>
  <si>
    <t>711</t>
  </si>
  <si>
    <t>711100101 SPC</t>
  </si>
  <si>
    <t>Hydroizolace včetně penetračního nátěru - vodorovná</t>
  </si>
  <si>
    <t>" Vodorovná izolace na základové desky vč. penetrace " (427,5)*1,15</t>
  </si>
  <si>
    <t xml:space="preserve">" - Hydroizolace. " </t>
  </si>
  <si>
    <t xml:space="preserve">" - Asfaltový penetrační nátěr " </t>
  </si>
  <si>
    <t xml:space="preserve">" - Veškeré nutné prvky, příslušenství, zajištění izolace v rozích a koutech - zesílení, řešení prostupů,těsnění spojů, apod. " </t>
  </si>
  <si>
    <t xml:space="preserve">" - Další veškeré práce související s provedením hydroizolace objektu. " </t>
  </si>
  <si>
    <t>HZS2161</t>
  </si>
  <si>
    <t>Hodinová zúčtovací sazba izolatér</t>
  </si>
  <si>
    <t xml:space="preserve">" Stavební práce a dodávky spojené s provedením funkčního celku 711 " </t>
  </si>
  <si>
    <t xml:space="preserve">" Ostatní náklady na demontáž, odstranění apod. mj.s vazbou na stávající okolní konstrukce " </t>
  </si>
  <si>
    <t>712</t>
  </si>
  <si>
    <t>712999101 SPC</t>
  </si>
  <si>
    <t>Plochá střecha - veškeré skladby</t>
  </si>
  <si>
    <t xml:space="preserve">" - Vegetační zeleň / kačírek / krytina. " </t>
  </si>
  <si>
    <t>" - Veškeré podkladní vrstvy skaldby zelené střechy / střechy s kačírkem - substrát, filtrační vrstva, drenážní vrstva, vegetační vrstva, ochranná rohož, apod. / střechy s krytinou "</t>
  </si>
  <si>
    <t xml:space="preserve">" - Hydroizolace, separace, parozábrana. " </t>
  </si>
  <si>
    <t xml:space="preserve">" - Tepelné izolace. " </t>
  </si>
  <si>
    <t xml:space="preserve">" - Příprava podkladu před provedením skladby střešního pláště " </t>
  </si>
  <si>
    <t xml:space="preserve">" - Veškeré nutné prvky, a příslušenství, zajištění izolace v rozích a koutech - zesílení, řwešení prostupů,těsnění spojů, apod. " </t>
  </si>
  <si>
    <t xml:space="preserve">" - Další veškeré práce související s provedením střechy objektu. " </t>
  </si>
  <si>
    <t xml:space="preserve">" Stavební práce a dodávky spojené s provedením funkčního celku 712." </t>
  </si>
  <si>
    <t>713999101 SPC</t>
  </si>
  <si>
    <t>Zateplení obvodové stěny - ETICS - vnější</t>
  </si>
  <si>
    <t>" - Případný předsazený obklad "</t>
  </si>
  <si>
    <t>" - Finální povrchová úprava vč. penetrace "</t>
  </si>
  <si>
    <t>" - Armovací stěrka "</t>
  </si>
  <si>
    <t>" - Výztužná tkanina, včetně zesílení síťoviny u ostění a nadpraží otvorů "</t>
  </si>
  <si>
    <t xml:space="preserve">" - Tepelná izolace - EPS / minerální vlna " </t>
  </si>
  <si>
    <t xml:space="preserve">" - Další veškeré práce související s provedením zateplení objektu. " </t>
  </si>
  <si>
    <t>713999102 SPC</t>
  </si>
  <si>
    <t>Zateplení obvodové stěny - sokl - ETICS - nad terénem</t>
  </si>
  <si>
    <t>" - Finální povrchová úprava vč. penetrace / obklad. "</t>
  </si>
  <si>
    <t xml:space="preserve">" - Tepelná izolace - XPS / Perimetr " </t>
  </si>
  <si>
    <t>" POZN: Případné práce související se sanací jsou naceněny v oddíle 6 "</t>
  </si>
  <si>
    <t>713999103 SPC</t>
  </si>
  <si>
    <t>Zateplení obvodové stěny - sokl - ETICS - pod terénem</t>
  </si>
  <si>
    <t xml:space="preserve">" - Nopová fólie " </t>
  </si>
  <si>
    <t xml:space="preserve">" Stavební práce a dodávky spojené s provedením funkčního celku 713." </t>
  </si>
  <si>
    <t>763</t>
  </si>
  <si>
    <t>763111901 SPC</t>
  </si>
  <si>
    <t>SDK příčky + instalační vč. veškerého příslušenství</t>
  </si>
  <si>
    <t xml:space="preserve">" SDK příčky vč. instalačních " </t>
  </si>
  <si>
    <t>" - SDK konstrukce příček vč. instalačních vč. vložené TI "</t>
  </si>
  <si>
    <t>" - Případné zesílení vloženými ocelovými profily / dřevem pro zavěšení polic, ZP, apod.. "</t>
  </si>
  <si>
    <t>" - Penetrace. "</t>
  </si>
  <si>
    <t>" - Příplatky za ukončení příček ve volném prostoru, za zalomení příček, apod. "</t>
  </si>
  <si>
    <t>" - Veškeré nutné profily, pásky, ochrany rohů, tmelení, apod. "</t>
  </si>
  <si>
    <t>" - Případné další nutné práce a materiál pro provedení SDK příček. "</t>
  </si>
  <si>
    <t>763122901 SPC</t>
  </si>
  <si>
    <t>SDK stěny šachtové, předsazené vč. veškerého příslušenství</t>
  </si>
  <si>
    <t xml:space="preserve">" SDK stěny - šachtové, předsazené " </t>
  </si>
  <si>
    <t>" - SDK konstrukce stěn vč. instalačních vč. vložené TI "</t>
  </si>
  <si>
    <t>" - Příplatky za zalomení stěn apod. "</t>
  </si>
  <si>
    <t>" - Případné další nutné práce a materiál pro provedení SDK stěn "</t>
  </si>
  <si>
    <t>763131901 SPC</t>
  </si>
  <si>
    <t>SDK podhledy vč. příslušenství</t>
  </si>
  <si>
    <t xml:space="preserve">" SDK podhledy " </t>
  </si>
  <si>
    <t>" - SDK konstrukce podhledu vč. vložené TI "</t>
  </si>
  <si>
    <t>" - Příplatky za vyšší zavěšení podhledů, napojení na jiný druh, skokovou změnu, apod. "</t>
  </si>
  <si>
    <t>" - Veškeré nutné profily, pásky, tmelení, apod. "</t>
  </si>
  <si>
    <t>" - Případné další nutné práce a materiál pro provedení SDK podhledy "</t>
  </si>
  <si>
    <t>HZS2171</t>
  </si>
  <si>
    <t>Hodinová zúčtovací sazba sádrokartonář</t>
  </si>
  <si>
    <t xml:space="preserve">" Stavební práce a dodávky spojené s provedením funkčního celku 763. " </t>
  </si>
  <si>
    <t>764</t>
  </si>
  <si>
    <t>764999901 SPC</t>
  </si>
  <si>
    <t>" Klempířské prvky. "</t>
  </si>
  <si>
    <t xml:space="preserve">" - Oplechování atiky vč. podkladní desky (např. vláknocementové) pro ukotvení a případných špalíků ." </t>
  </si>
  <si>
    <t>" - Svody, okapy žlaby, vč. zaústění. "</t>
  </si>
  <si>
    <t>" - Lemovací, přítlačné, kačírkové a veškeré další lišty. "</t>
  </si>
  <si>
    <t>" - Příponky, podkladní plechy. "</t>
  </si>
  <si>
    <t>" - Oplechování říms, ozdobných prvků, stříšek, lodžií.. "</t>
  </si>
  <si>
    <t>" - Případné lemování prostupů nad střechu. "</t>
  </si>
  <si>
    <t>" - Ostatní prvky klempířské výroby neuvedené. "</t>
  </si>
  <si>
    <t>HZS2151</t>
  </si>
  <si>
    <t>Hodinová zúčtovací sazba klempíř</t>
  </si>
  <si>
    <t xml:space="preserve">" Stavební práce a dodávky spojené s provedením funkčního celku 767 " </t>
  </si>
  <si>
    <t>765999101 SPC</t>
  </si>
  <si>
    <t>" - Latě "</t>
  </si>
  <si>
    <t>" - Kontralatě "</t>
  </si>
  <si>
    <t>" - Pojistná hydroizolace - pětivrstvý polymerbitumenový difuzně otevřený pás odolný proti dešti se samolepícími spoji, vhodný k volnému napnutí přes krokve. "</t>
  </si>
  <si>
    <t>" - Celoplošné bednění v š. ± 1,0 m od okraje střechy pro ukotvení nástřešního žlabu "</t>
  </si>
  <si>
    <t>" - Úprava dřevěných prvků - impregnace, hoblování, atd. "</t>
  </si>
  <si>
    <t>766992901 SPC</t>
  </si>
  <si>
    <t>Okna / kopie oken dle původního</t>
  </si>
  <si>
    <t>" Okna "</t>
  </si>
  <si>
    <t>" - Okno se základními prvky vč. zasklení požadovaných vlastností "</t>
  </si>
  <si>
    <t>" - Veškeré nutné příslušenství - fólie proti vniknutí / proti záření, vnitřní žaluzie, síť proti hmyzu, původní kování, apod. "</t>
  </si>
  <si>
    <t>766993901 SPC</t>
  </si>
  <si>
    <t>" Interiérové otevíravé dveře "</t>
  </si>
  <si>
    <t>" - Dveře vč. zákaldního vybavení - kování, zámku, apod. vč. těch s PO "</t>
  </si>
  <si>
    <t>" - Veškeré nutné příslušenství - okopový plech, piktogramy, padací práh,  podlahové profily, případné čtečky karet, apod. "</t>
  </si>
  <si>
    <t>" Interiérové posuvné dveře vč. těch s PO "</t>
  </si>
  <si>
    <t>766994901 SPC</t>
  </si>
  <si>
    <t>766</t>
  </si>
  <si>
    <t>766999901 SPC</t>
  </si>
  <si>
    <t>Truhlářské výrobky a prvky</t>
  </si>
  <si>
    <t>" Truhlářské výrobky a prvky. "</t>
  </si>
  <si>
    <t>" - Kuchyňské linky vč. vybavení, skříněk "</t>
  </si>
  <si>
    <t>" - Dřevěná madla a zábradlí.  "</t>
  </si>
  <si>
    <t>" - Případné vestavné skříně a další drobný nábytek. "</t>
  </si>
  <si>
    <t>" - Případné laboratorní linky vč. vybavení, skříněk "</t>
  </si>
  <si>
    <t>" - Případné vnitřní prosvětlovací otvory - okna vč. parapetů + dveře nespecifikované rozměrově a veškerého vybavení. "</t>
  </si>
  <si>
    <t>" - Ostatní prvky truhlářské výroby výroby. "</t>
  </si>
  <si>
    <t>HZS2121</t>
  </si>
  <si>
    <t>Hodinová zúčtovací sazba truhlář</t>
  </si>
  <si>
    <t xml:space="preserve">" Stavební práce a dodávky spojené s provedením funkčního celku 766 " </t>
  </si>
  <si>
    <t>767</t>
  </si>
  <si>
    <t>767999901 SPC</t>
  </si>
  <si>
    <t>" Zámečnické prvky a výrobky. "</t>
  </si>
  <si>
    <t>" - Vnitřní zábradlí a madla  - schodišť, kolem stěn, ramp, apod. "</t>
  </si>
  <si>
    <t>" - Poklopy. "</t>
  </si>
  <si>
    <t>" - Ochranné mříže. "</t>
  </si>
  <si>
    <t>" - Konzoly, ochranné prvky, okování, hran, krycí úhelníky. "</t>
  </si>
  <si>
    <t>" - Případné žebříky požární. "</t>
  </si>
  <si>
    <t>" - Ostatní prvky zámečnické výroby. "</t>
  </si>
  <si>
    <t>HZS2131</t>
  </si>
  <si>
    <t>Hodinová zúčtovací sazba zámečník</t>
  </si>
  <si>
    <t>771099101 SPC</t>
  </si>
  <si>
    <t>" - Keramická dlažba lepená flexibilním lepidlem "</t>
  </si>
  <si>
    <t>" - Podkladní vrstva - potěr (anhydritový, cementový, …), betonová mazanina, stěrka, apod. "</t>
  </si>
  <si>
    <t>" - Separační fólie "</t>
  </si>
  <si>
    <t>" - Tepelná, kročejová izolace  "</t>
  </si>
  <si>
    <t xml:space="preserve"> " - Případné další vrstvy podlah - násypy,zdvojená podlaha, apod. "</t>
  </si>
  <si>
    <t>" V ceně také ukončovací , přechodové lišty z hliníkových profilů s dilatační zónou, dilatační dvousložkové plastové profily, případné podlahové pásky a keramický sokl po obvodu místností a další veškeré nutné příslušenství. "</t>
  </si>
  <si>
    <t>" Cena zahrnuje flexibilní lepidlo, spárovací hmotu a pružný tmel pro dilatace. "</t>
  </si>
  <si>
    <t>HZS2331</t>
  </si>
  <si>
    <t>Hodinová zúčtovací sazba podlahář</t>
  </si>
  <si>
    <t xml:space="preserve">" Stavební práce a dodávky spojené s provedením funkčního celku 771 " </t>
  </si>
  <si>
    <t xml:space="preserve">" Zednická výpomoc,doplňkové práce,kompletace,zřízení prostupů,zapravení prostupů, apod. " </t>
  </si>
  <si>
    <t>" - Podkladní vrstva - desková konstrukce (OSB, cementotřísková deska, apod) / potěr (anhydritový, cementový, …), betonová mazanina, stěrka, apod. "</t>
  </si>
  <si>
    <t>776099101 SPC</t>
  </si>
  <si>
    <t>" Přírodní linoleum - marmoleum na terénu "</t>
  </si>
  <si>
    <t>" - Přírodní linleum (marmoleum) o lepeno disperzním lepidlem "</t>
  </si>
  <si>
    <t>" V ceně také ukončovací , přechodové lišty z hliníkových profilů s dilatační zónou, dilatační dvousložkové plastové profily, podlahové pásky po obvodu místností, soklová lišta / fabion a další veškeré nutné příslušenství. "</t>
  </si>
  <si>
    <t>" Cena zahrnuje disperzní lepidlo. "</t>
  </si>
  <si>
    <t xml:space="preserve">" Stavební práce a dodávky spojené s provedením funkčního celku 776. " </t>
  </si>
  <si>
    <t>777099101 SPC</t>
  </si>
  <si>
    <t>" - Epoxidový nátěr vč. penetračního nátěru a případného vrchního nátěru  "</t>
  </si>
  <si>
    <t>" V ceně vytažení epoxidové stěrky na sokl (vytvoření fabionu), ukončovací , přechodové a dilatační lišty, případné podlahové pásky po obvodu místnosti a další veškeré nutné příslušenství. "</t>
  </si>
  <si>
    <t xml:space="preserve">" Stavební práce a dodávky spojené s provedením funkčního celku 777. " </t>
  </si>
  <si>
    <t>781</t>
  </si>
  <si>
    <t>781141901 SPC</t>
  </si>
  <si>
    <t>Keramické obklady - vnitřní</t>
  </si>
  <si>
    <t xml:space="preserve">" Vnitřní keramické obklady " </t>
  </si>
  <si>
    <t>" - Oprášení / ometení podkladu "</t>
  </si>
  <si>
    <t>" - Případné vyrovnání podkladu pod omítky "</t>
  </si>
  <si>
    <t>" - Penetrační nátěr "</t>
  </si>
  <si>
    <t>" - Izolace nátěrem pod obklad  "</t>
  </si>
  <si>
    <t>" - Veškeré příplatky - za malý prostor, spárování dvousložkovým tmelem, apod  "</t>
  </si>
  <si>
    <t>" - Obklad vč. veškerých prvků - ochrany rohů, lemování, apod.  "</t>
  </si>
  <si>
    <t>" - Přesun hmot  "</t>
  </si>
  <si>
    <t>" - Veškeré další příslušenství pro provedení keramických obkladů. "</t>
  </si>
  <si>
    <t>HZS2321</t>
  </si>
  <si>
    <t>Hodinová zúčtovací sazba obkladač</t>
  </si>
  <si>
    <t xml:space="preserve">" Stavební práce a dodávky spojené s provedením funkčního celku 787." </t>
  </si>
  <si>
    <t>784</t>
  </si>
  <si>
    <t>784999901 SPC</t>
  </si>
  <si>
    <t>Malby stěn a stropů</t>
  </si>
  <si>
    <t>" - Oprášení / ometení podkladu a případné oškrábání a rozmývání stávající malby "</t>
  </si>
  <si>
    <t>" - Olepení vnitřních ploch fólií s páskou  vč. fólie  "</t>
  </si>
  <si>
    <t>" - Zakrytí vnitřních ploch fólií  vč. fólie  "</t>
  </si>
  <si>
    <t>" - Penetrace podkladu pod malbu  "</t>
  </si>
  <si>
    <t>" - Malba  "</t>
  </si>
  <si>
    <t>" - Příplatek za barevné provedení malby  "</t>
  </si>
  <si>
    <t>" - Veškeré další příslušenství pro provedení maleb. "</t>
  </si>
  <si>
    <t>790999999 SPC</t>
  </si>
  <si>
    <t>Ostatní práce a materiály nespecifikované související s provedením rekonstrukce stávajícího objektu pro část PSV</t>
  </si>
  <si>
    <t>" Ostatní práce a materiál nespecifikované - PSV "</t>
  </si>
  <si>
    <t>" V ceně např:
 - případné nátěry jednotlivých konstrukcí - fasády, vnitřních ocelových, apod;
 - případná další nespecifikována zateplení;
 - práce a věci v množství větším, než je uvedeno;
 - případné akustické a jiné obklady a podhledy mimo ty uvedené;
 - příslušenství pro jednotlivé skladby neřešené;
 - případné prvky na schodiště - reflexní pásky, ochrana hran, jejich úprava,apod;
 - čistící zóny vč. příslušenství - venkovní;
 - výztuhy SDK konstrukcí pro upevnění prvků interiáru;
 - střešní výlez;
 - nátěry betonových prefabrikovaných konstrukcí;
 - repase veškerých prvků - truhlářských, zámečnickcých - dle původního stavu - např. kolem schodiště;
 - repase stávajících kamen vč. případného odvozu, dovozu, apod.;
 - případné úpravy podlah balkonů / repase;
 - úpravy zastřešní balkónů, předstupujících konstrukcí;
 - další práce a materiál nespecifikované související s provedením oddílů pro PSV jinde neuvedené. "</t>
  </si>
  <si>
    <t>" Stavební práce a dodávky spojené s provedením funkčního celku 790 "</t>
  </si>
  <si>
    <t>943</t>
  </si>
  <si>
    <t>430999901 SPC</t>
  </si>
  <si>
    <t>D+M Ocelových konstrukcí včetně nátěru a povchové úpravy - Specifikace dle PD</t>
  </si>
  <si>
    <t>" Ocelové konstrukce ve stávajícím objektu. "</t>
  </si>
  <si>
    <t>" Ocelová konstrukce ve stávajícím objektu - na nosníky stropů, apod. "</t>
  </si>
  <si>
    <t>" Cena obsahuje také kotvení ocelových konstrukcí pomocí navrtání, kotev, ocelových kotevních desek, patních a roznášecích plechů a chemického zakotvení a dalších prvků pro uložení - např. maltového lože, podlití, apod. "</t>
  </si>
  <si>
    <t>" Ocelová konstrukce výrobní skupiny EXC2 dle ČSN EN 1090, nosné ocelové prvky dle ČSN EN 10025+A1 z oceli S235. "</t>
  </si>
  <si>
    <t>" Vnitřní ocelové konstrukce otrýskány na stupeň Sa 2,5, povrchová úprava zákadním syntetickým nátěrem v min. tloušťce 80 µm a vrchní nátěr v celkové min. tloušťce 120 µm."</t>
  </si>
  <si>
    <t>" Cena včetně opravy nátěru po montážních svarech, veškerý spojovací materiál z pozinkované oceli nebo opatřen antikorózní úpravou "</t>
  </si>
  <si>
    <t>HZS3121</t>
  </si>
  <si>
    <t>Hodinová zúčtovací sazba montér ocelových konstrukcí</t>
  </si>
  <si>
    <t xml:space="preserve">" Stavební práce a dodávky spojené s provedením funkčního celku M-43. " </t>
  </si>
  <si>
    <t>D.1.1. ASŘ - STÁVAJÍCÍ OBJEKT - NOVÝ STAV - UZNATELNÉ NÁKLADY</t>
  </si>
  <si>
    <t>" V ceně např:
 - veškeré nutné dilatace, zelména kolem výtahové šachty a okolních konstrukcí; 
 - příbadnéí hrubé záhozy rýh ve zdivech pro jednotlivé instalace a rozvody;
 - práce, ochrana konstrukcí a další věci v množství větším než uvedeném;
 - případné překlady systémové;
 - případné příčky ze zdiva / pórobetonu;
 - práce na stávajcíích objektech z vnitřní strany;
 - případné sanace uvnitř objektu - stropů, stěn, v PP, apod.;
 - případná injektáž zdiva;
 - restaurování historických maleb, ozdobných prvků, apod.;
 - další práce a materiál nespecifikované související s provedením oddílů pro HSV jinde neuvedené. "</t>
  </si>
  <si>
    <t>" - Komínové lávky "</t>
  </si>
  <si>
    <t>013</t>
  </si>
  <si>
    <t>962031901 SPC</t>
  </si>
  <si>
    <t>Vybourání veškerých zděných příček - cihelných, skleněných, …</t>
  </si>
  <si>
    <t>" V ceně vybourání příček vč. odvozu a likvidace suti na recyklační skládku. "</t>
  </si>
  <si>
    <t>962032901 SPC</t>
  </si>
  <si>
    <t>Vybourání nosného zdiva z cihel, tvárnic</t>
  </si>
  <si>
    <t>" V ceně vybourání nosného zdiva vč. odvozu a likvidace suti na recyklační skládku. "</t>
  </si>
  <si>
    <t>968082992 SPC</t>
  </si>
  <si>
    <t>Vybourání kovových / dřevěných / plastových dveřních zárubní a rámů vč. křídel, vybourání posuvných dveří vč. pouzdra, vybourání vrat - Specifikace dle PD</t>
  </si>
  <si>
    <t xml:space="preserve">" Dveře " </t>
  </si>
  <si>
    <t>" V položce zahrnuto vyvěšení dřevěných nebo kovových (popř. plastových) dveřních křídel, odstranění prahů, vybourání kovových / dřevěných zárubní vč, světlíkových částí a mříží. V ceně nutné přisekání ostění a nutné odstranění prvků na dveřních křídlech - samozavíračů, okopného plechu, stavěče, apod. 
V ceně také případné vysklívání dveří. "</t>
  </si>
  <si>
    <t>" V položce zahruto také odstranění posuvných dveří vč. odstranění veškerého příslušenství - pouzdra, kolejnic, atd. "</t>
  </si>
  <si>
    <t>968072356 RTO</t>
  </si>
  <si>
    <t xml:space="preserve">Vybourání oken </t>
  </si>
  <si>
    <t>" Součástí ceny je také demontáž okenních křídel, vnějších a vnitřních parapetů apod. "</t>
  </si>
  <si>
    <t>" V ceně také nutné přisekání / řezání ostění a odstranění potěrů pod parapety.
V ceně také vysklívání oken . "</t>
  </si>
  <si>
    <t>" V ceně přesun a likvidace suti na recyklační skládku. vč. odvozu na recyklační skládku / do spalovny "</t>
  </si>
  <si>
    <t>" Areálový rozvod elektrického vedení "</t>
  </si>
  <si>
    <t xml:space="preserve">  Včetně naložení, svislého a vodorovného přesunu zeminy / sypaniny / výkopku. Likvidace v souladu se zákonem č. 541/2020 Sb. O odpadech vč. správného začleněné dle přílohy č. 1 vyhlášky č. 8/2021 o Katalogu odpadů a posuzování vlastností odpadů (Katalog odpadů). Likvidace dle technologie na místa určené zhotovitelem, včetně poplatků za uložení zeminy / sypaniny / výkopku. </t>
  </si>
  <si>
    <r>
      <t>" Včetně naložení, svislého a vodorovného přesunu suti, odvoz stavební suti. Likvidace v souladu se zákonem č. 541/2020 Sb.</t>
    </r>
    <r>
      <rPr>
        <sz val="8"/>
        <color rgb="FF0000FF"/>
        <rFont val="Arial CE"/>
        <family val="2"/>
        <charset val="238"/>
      </rPr>
      <t xml:space="preserve"> O odpadech vč. správného začleněné dle přílohy č. 1 vyhlášky č. 8/2021 o Katalogu odpadů a posuzování vlastností odpadů (Katalog odpadů).</t>
    </r>
    <r>
      <rPr>
        <sz val="8"/>
        <color rgb="FFFF0000"/>
        <rFont val="Arial CE"/>
        <family val="2"/>
        <charset val="238"/>
      </rPr>
      <t xml:space="preserve"> 
</t>
    </r>
    <r>
      <rPr>
        <sz val="8"/>
        <color indexed="12"/>
        <rFont val="Arial CE"/>
        <family val="2"/>
        <charset val="238"/>
      </rPr>
      <t>Likvidace dle technologie na místa určené zhotovitelem, včetně poplatků za uložení odpadu. "</t>
    </r>
  </si>
  <si>
    <t>" V ceně kabelové vedení vč. lože, obsypu a výstražné fólie, zkoušek / revize, napojení. V ceně také případné šachty, výkopové práce, manipulace s výkopkem a jeho odvoz, případné zřízení pažení a jeho odstranění, zásyp rýhy vhodným dobře zhutnitelným materiálem, uvedení plochy do původního / nového stavu, chráničky, zemnící drát vč. napojení a další veškeré nutné práce a materiál související s provedením areálového rozvodu elektra. "</t>
  </si>
  <si>
    <t>Areálový rozvod elektrického vedení - NN</t>
  </si>
  <si>
    <t>899999303 SPC</t>
  </si>
  <si>
    <t>" Areálový plynovod "</t>
  </si>
  <si>
    <t>" V ceně potrubí plynovodu vč. lože, obsypu a výstražné fólie, zkoušky potrubí, napojení. V ceně také výkopové práce, manipulace s výkopkem a jeho odvoz, zřízení pažení a jeho odstranění, zásyp rýhy vhodným dobře zhutnitelným materiálem, uvedení plochy do původního / nového stavu, a další veškeré nutné práce a materiál související s provedením areálového rozvodu plynovodu.
V ceně take odstranění stávajícího areálového STL plynovodu. "</t>
  </si>
  <si>
    <t>Areálový plynovod</t>
  </si>
  <si>
    <t>899999104 SPC</t>
  </si>
  <si>
    <t>" Přípojka vodovodu "</t>
  </si>
  <si>
    <t xml:space="preserve">" V položce zahrnuta likvidace sypaniny / výkopku / navážky v souladu se zákonem č. 185/2001 Sb., o odpadech a související vyhláškou MŽP ČR č. 294/2005 Sb. o podmínkách ukládání odpadů na skládky a jejich využívání na povrchu terénu a změně vyhlášky č. 383/2001 Sb., o podrobnostech nakládání s odpady. Likvidace dle technologie a místa určené zhotovitelem, včetně poplatků za uložení sypaniny / výkopku / navážky. " </t>
  </si>
  <si>
    <t>" V ceně potrubí vodovodu vč. lože, obsypu a výstražné fólie, zkoušky potrubí, napojení. V ceně také šachty, výkopové práce, manipulace s výkopkem a jeho odvoz, zřízení pažení a jeho odstranění, zásyp rýhy vhodným dobře zhutnitelným materiálem, uvedení plochy do původního / nového stavu a další veškeré nutné práce a materiál související s provedením vodovodní přípojky vč. případného odstranění zpevněných ploch mimo řešené území. "</t>
  </si>
  <si>
    <t>kpl</t>
  </si>
  <si>
    <t>Přípojka vodovodu</t>
  </si>
  <si>
    <t>899999102 SPC</t>
  </si>
  <si>
    <t>" Přípojka kanalizace "</t>
  </si>
  <si>
    <t>" V ceně potrubí kanalizace vč. lože, obsypu a výstražné fólie, zkoušky potrubí, napojení. V ceně také revizní šachty, výkopové práce, manipulace s výkopkem a jeho odvoz, zřízení pažení a jeho odstranění, zásyp rýhy vhodným dobře zhutnitelným materiálem, uvedení plochy do původního / nového stavu, a další veškeré nutné práce a materiál související s provedením kanalizační přípojky vč. případného odstranění zpevněných ploch mimo řešené území. "</t>
  </si>
  <si>
    <t>Přípojka kanalizace</t>
  </si>
  <si>
    <t>899999101 SPC</t>
  </si>
  <si>
    <t>Venkovní instalace</t>
  </si>
  <si>
    <t>" V ceně podkladní lože, podkladní vrstvva, obrusná vrstva, postřiky, vč. lemování obrubníky, nutné zemní práce vč. manipulace s výkopkem. Případné vodorovné značení, plošná úprava terénu, zhutnění podloží, zvýšení únostnosti podloží, napojení na stávající komunikace, přesun hmot a další nutné práce a materiál související s provedením areálové pojízdné komunikace. "</t>
  </si>
  <si>
    <t>Pojízdná komunikace</t>
  </si>
  <si>
    <t>596999905 SPC</t>
  </si>
  <si>
    <t>" Dlážděná plocha - chodník "</t>
  </si>
  <si>
    <t>" V ceně podkladní lože, kladecí lože nášlapná vrstva - dlažba, vč. lemování obrubníky, nutné zemní práce vč. manipulace s výkopkem . Případné vodorovné značení, plošná úprava terénu, zhutnění podloží, napojení na stávající komunikace, přesun hmot a další nutné práce a materiál související s provedením pochůzích ploch z dlažby - přístupu do objektu a areálové komunikace. "</t>
  </si>
  <si>
    <t>Dlážděná plocha - pochůzí - chodník</t>
  </si>
  <si>
    <t>596999902 SPC</t>
  </si>
  <si>
    <t>Zpevněné plochy</t>
  </si>
  <si>
    <t>" Objekt 4 "</t>
  </si>
  <si>
    <t>" V ceně: Rekonstrukce objektu včetně odvozu odpadu na skládku, případné úpravy vnitřní i venkovní a všech prací nutných k dokončení stavby. "</t>
  </si>
  <si>
    <t>Rekonstrukce objektu 4</t>
  </si>
  <si>
    <t>596999901 SPC</t>
  </si>
  <si>
    <t>" Brána "</t>
  </si>
  <si>
    <t>" Zemní práce, manipulace s výkopkem, zpětný zásyp oplocení. Výstavba nového oplocení vč. základů,, přesun hmot, úprava terénu, napojení na stávající, případné dilatace a další nutné práce související s výstavbou nového oplocení. "</t>
  </si>
  <si>
    <t>ks</t>
  </si>
  <si>
    <t xml:space="preserve">Vstupní brána s brankou pro nové oplocení </t>
  </si>
  <si>
    <t>315999903 SPC</t>
  </si>
  <si>
    <t xml:space="preserve">  Včetně naložení, svislého a vodorovného přesunu zeminy / sypaniny / výkopku. Likvidace v souladu se zákonem č. 541/2020 Sb. O odpadech vč. správného začleněné dle přílohy č. 1 vyhlášky č. 8/2021 o Katalogu odpadů a posuzování vlastností odpadů (Katalog odpadů). _x000D_
Likvidace dle technologie na místa určené zhotovitelem, včetně poplatků za uložení zeminy / sypaniny / výkopku.</t>
  </si>
  <si>
    <t xml:space="preserve">Vstupní brána pro nové oplocení </t>
  </si>
  <si>
    <t>" Provedení nového oplocení "</t>
  </si>
  <si>
    <t xml:space="preserve">Provedení nového oplocení </t>
  </si>
  <si>
    <t>315999901 SPC</t>
  </si>
  <si>
    <t>Oplocení</t>
  </si>
  <si>
    <t>" Provedení terénních úprav vč zatravnění. "</t>
  </si>
  <si>
    <t xml:space="preserve">" V ceně případný dovoz zeminy na úpravu okolí - násypy, případný odkop zeminy pro úpravu, provedení svahování terénu, přípravu pro uložení ornice, výsev trávníku vč. veškerých prací - zalití, hnojení, a obdělání půdy frézováním, hrabáním, vláčením, válením, shrabáním, chemické odplevelení, zapískování, apod., přesun hmot, a další nutné práce a materiál související s provedením úpravy terénu a osetím. " </t>
  </si>
  <si>
    <t>Provedení úprav terénu - svahování - vč. výsevu trávníku</t>
  </si>
  <si>
    <t>181999102 SPC</t>
  </si>
  <si>
    <t>" Nakládání s ornicí. "</t>
  </si>
  <si>
    <t xml:space="preserve">" V ceně odstranění ornice, její případné uskladnění, rozprostřední, odvoz nepotřebné a další práce související s nakládáním s ornicí. " </t>
  </si>
  <si>
    <t>Nakládání s ornicí</t>
  </si>
  <si>
    <t>181999101 SPC</t>
  </si>
  <si>
    <t xml:space="preserve">" Odstranění zpevněných ploch " </t>
  </si>
  <si>
    <t>" V ceně také zásyp po vybouraných zpevněných plochách do výšky původního terénu, ochrana stávajícch objektů, apod. 
V ceně také náklady spojené s odvozem suti z demolic. "</t>
  </si>
  <si>
    <t xml:space="preserve">" V ceně odstranění horní vrstvy zpevněných ploch vč. veškerých podkladných vrstev a lemujících prvků - obrubníků, krajníků, ochrana vstupu a vjezdu na pozemek. " </t>
  </si>
  <si>
    <t>Odstranění stávajících zpevněných ploch před výstavbou vč. lemujících prvků</t>
  </si>
  <si>
    <t>113999201 SPC</t>
  </si>
  <si>
    <t>" Odstranění stávajících dřevin a zeleně. "</t>
  </si>
  <si>
    <t>"  Včetně naložení, svislého a vodorovného přesunu přesun bioodpadu (dřevin, travin, křovin), odvoz biodpadu.
Likvidace v souladu se zákonem č. 541/2020 Sb. O odpadech vč. správného začlenění dle přílohy č. 1 vyhlášky č. 8/2021 o Katalogu odpadů a posuzování vlastností odpadů (Katalog odpadů). 
Likvidace dle technologie na místa určené zhotovitelem, včetně poplatků za uložení odpadu. "</t>
  </si>
  <si>
    <t>" V ceně také přesun a likvidace biologického odpadu. "</t>
  </si>
  <si>
    <t>" V ceně odstranění stávajících dřevin - stromů, keřů, - vč. pařezů a . případného zasypání jam po pařezech, odstranění travin, ochrana nekácených okolních dřevin, a další veškeré nutné práce a materiál související. s odstraněním a ochranou dřevin a křovin. a odstraněním zeleně "</t>
  </si>
  <si>
    <t>Odstranění stávajících dřevin, zeleně a ochrany okolních nekácených vč.  odvozu a likvidace biologického odpadu</t>
  </si>
  <si>
    <t>112999101 SPC</t>
  </si>
  <si>
    <t>Sadové úpravy a venkovní mobiliář</t>
  </si>
  <si>
    <t>" Bourací práce "</t>
  </si>
  <si>
    <t>" V ceně:
 - VRN;
 - Bourání areálové elektroinstalace
 - Odpojení objektu od elektroinstalace
 - Přesun hmot a suti, odvoz suti na skládku</t>
  </si>
  <si>
    <t xml:space="preserve">Kompletní vybourání stávající areálové elektroinstalace </t>
  </si>
  <si>
    <t>999999904 SPC</t>
  </si>
  <si>
    <t>" V ceně:
 - VRN;
 - Bourání přípojky
 - Odpojení objektu od kanalizace
 - Přesun hmot a suti, odvoz suti na skládku</t>
  </si>
  <si>
    <t>Kompletní vybourání stávající přípojky kanalizace</t>
  </si>
  <si>
    <t>999999903 SPC</t>
  </si>
  <si>
    <t>" V ceně:
 - VRN;
 - Bourání přípojky
 - Odpojení objektu od vodovodu
 - Přesun hmot a suti, odvoz suti na skládku</t>
  </si>
  <si>
    <t>Kompletní vybourání stávajícího přípojky vodovodu</t>
  </si>
  <si>
    <t>999999902 SPC</t>
  </si>
  <si>
    <t>" V ceně:
 - VRN;
 - Bourání objektu vč. základů;
 - Odpojení objektu od vodovodu;
 - Odpojení objektu od kanalizace;
 - Odpojení objektu od elektroinstalace
 - Přesun hmot a suti, odvoz suti na skládku
 - Zpevněné plochy + sadové úpravy;</t>
  </si>
  <si>
    <t>Kompletní demolice Objektu 1</t>
  </si>
  <si>
    <t>999999901 SPC</t>
  </si>
  <si>
    <t>Bourací práce obsažené v PD bouracích prací</t>
  </si>
  <si>
    <t>Cena celkem</t>
  </si>
  <si>
    <t>Č.</t>
  </si>
  <si>
    <t xml:space="preserve">Studie </t>
  </si>
  <si>
    <t>Stupeň:</t>
  </si>
  <si>
    <t>Revitalizace depozitáře Pouchov, Modernizace zázemí pro personál a ochrana fondu SVK v Hradci Králové</t>
  </si>
  <si>
    <t>Stavba:</t>
  </si>
  <si>
    <t>ODBORNÝ ODHAD PŘEDPOKLÁDANÝCH NÁKLADŮ STAVBY</t>
  </si>
  <si>
    <t>Zemní práce okolo objektu</t>
  </si>
  <si>
    <t>Zdivo porobetonové tl. 100mm</t>
  </si>
  <si>
    <t>" - Porobeton, spojovací materiál "</t>
  </si>
  <si>
    <t>" - Případné další nutné práce a materiál pro provedení porobetonových stěn "</t>
  </si>
  <si>
    <t xml:space="preserve">" Omítka vnitřní omítka  / stěrka stropů " </t>
  </si>
  <si>
    <t xml:space="preserve">" Vnitřní omítka / stěrka stěn " </t>
  </si>
  <si>
    <t>" Omítka vnějších stěn "</t>
  </si>
  <si>
    <t>" - Přesun hmot, odvoz a likvidace suti "</t>
  </si>
  <si>
    <t>" - TI omítka vč. podkladní vrstvy a příslušenství a lišt kolem otvorů.  "</t>
  </si>
  <si>
    <t xml:space="preserve">" Venkovní řadové lešení pro stavební práce. " </t>
  </si>
  <si>
    <t xml:space="preserve">" Vybourání veškerého nosného zdiva z cihel, tvárnic. " </t>
  </si>
  <si>
    <t xml:space="preserve">" Vybourání veškerých příček " </t>
  </si>
  <si>
    <t xml:space="preserve">" 1.NP " </t>
  </si>
  <si>
    <t xml:space="preserve">" Vybourání dveřních křídel vč. zárubní a příslušenství " </t>
  </si>
  <si>
    <t>" Vodorovná izolace na základové desky vč. penetrace "</t>
  </si>
  <si>
    <t xml:space="preserve">" Plochá střecha " </t>
  </si>
  <si>
    <t xml:space="preserve">" - Veškeré nutné prvky, a příslušenství, zajištění izolace v rozích a koutech - zesílení, řešení prostupů,těsnění spojů, apod. " </t>
  </si>
  <si>
    <t>" Zateplení fasády objektu "</t>
  </si>
  <si>
    <t xml:space="preserve">" - Zateplení vnitřní a horní části atiky včetně atikových klínu" </t>
  </si>
  <si>
    <t xml:space="preserve">" Malby SDK konstrukcí - stropy " </t>
  </si>
  <si>
    <t>Klempířské prvky a výrobky</t>
  </si>
  <si>
    <t xml:space="preserve">Fasádní dveře </t>
  </si>
  <si>
    <t xml:space="preserve">Stavba:  Revitalizace depozitáře Pouchov, Modernizace zázemí pro personál a ochrana fondu SVK v Hradci </t>
  </si>
  <si>
    <t>Objekt:  Stavební část - NS</t>
  </si>
  <si>
    <t>Část: Objekt 4</t>
  </si>
  <si>
    <t>Objekt č. 4</t>
  </si>
  <si>
    <t xml:space="preserve">" Zazdívky, dozdívky" </t>
  </si>
  <si>
    <t xml:space="preserve">" Zateplení soklové části - pod terénem " </t>
  </si>
  <si>
    <t>" Zateplení soklové části - nad terénem "</t>
  </si>
  <si>
    <t>Objekt č. 3</t>
  </si>
  <si>
    <t>Část: Objekt 3</t>
  </si>
  <si>
    <t>Část: Objekt 2</t>
  </si>
  <si>
    <t xml:space="preserve">Zemní práce v a okolo stávajícího objektu </t>
  </si>
  <si>
    <t>D+M Základové konstrukce objektu - Specifikace dle PD</t>
  </si>
  <si>
    <t>Zdivo porobetonové tl. 300mm</t>
  </si>
  <si>
    <t xml:space="preserve">" Porobetonové stěny " </t>
  </si>
  <si>
    <t>" Porobetonové stěny " (23,74+2,450)</t>
  </si>
  <si>
    <t>Zdivo porobetonové tl. 200mm</t>
  </si>
  <si>
    <t>" Porobetonové stěny " (75,60)</t>
  </si>
  <si>
    <t xml:space="preserve">" Nová stropní konstrukce ze ztraceného bednění - trapézového plechu a ŽB desky - nadbetonávky " </t>
  </si>
  <si>
    <t xml:space="preserve">" Zateplení fasády objektu " </t>
  </si>
  <si>
    <t xml:space="preserve">" Zateplení soklové části - nad terénem " </t>
  </si>
  <si>
    <t>" Zateplení soklové části - pod terénem "</t>
  </si>
  <si>
    <t>" 1. NP, 2.NP, 3.NP, 4.NP, 5.NP " 288,89+232,31+232,4+230,08+223</t>
  </si>
  <si>
    <t>964999203 SPC</t>
  </si>
  <si>
    <t>" Odstranění podkladních vrstev podlah jako tepelné izolace, hydroizolace, separační a roznášecí vrstvy, maltového lože, násypů, (podlahových pásků, tepelné izolace zdí v podlaze, ...), apod. "</t>
  </si>
  <si>
    <t>" V ploše také odstranění výškových změn v dané místnosti - např. zvýšený sokl,, stupňovitá podlaha, apod. 
V ceně také případné odstranění veškerých prvků zabudovaných v podlaze - profilů, ocelových věcí, výplní spár, apod. "</t>
  </si>
  <si>
    <t>964999201 SPC</t>
  </si>
  <si>
    <t>Odstranění veškerých vrstev podlah včetně nášlapné vrstvy a základové desky na požadovanou výškovou úroveň vč. veškerého příslušenství - Specifikace dle PD</t>
  </si>
  <si>
    <t>" Odstranění veškerých vrstev podklahy vč. nášlapné vrstvy a základové desky. "</t>
  </si>
  <si>
    <t>" Odstranění našlapné vrstvy a veškerých podkladních vrstev podlah jako tepelné izolace, roznášecí vrstvy, maltového lože, veškerých svislých vrstev (podlahových pásků, tepelné izolace zdí v podlaze, ...), apod. "</t>
  </si>
  <si>
    <t>" Odstranění základové desky, hydroizolace, podkladního vyztuženého betonu, podsypu pod základovou deskou, veškerých svislých vrstev (podlahových pásků, tepelné izolace zdí v podlaze, ...), apod. "</t>
  </si>
  <si>
    <t xml:space="preserve">" Odstranění podlahy - 1. NP "  </t>
  </si>
  <si>
    <t>Odstranění veškerých vrstev podlah vč. případných podkladních vrstev na stávající nosnou konstrukci stropu nebo základové desky vč. veškerého příslušenství - Specifikace dle PD</t>
  </si>
  <si>
    <t xml:space="preserve">" Odstranění podkladních vrstev podlah " </t>
  </si>
  <si>
    <t>Odstranění veškerých vrstev střechy  na stávající nosnou konstrukci stropu vč. veškerého příslušenství - Specifikace dle PD</t>
  </si>
  <si>
    <t xml:space="preserve">" Odstranění vrstev střechy " </t>
  </si>
  <si>
    <t>" Odstranění všech vrstev střechy jako krytina, tepelné izolace, hydroizolace, parozábrana, apod. "</t>
  </si>
  <si>
    <t>Bourání kontaktního zateplení - Specifikace dle PD</t>
  </si>
  <si>
    <t xml:space="preserve">" Bourání zateplení " </t>
  </si>
  <si>
    <t>" Bourání kontaktního zateplení včetně povrchové úpravy omítky, armovací tkaniny a případného tmelu, apod. "</t>
  </si>
  <si>
    <t xml:space="preserve">Odstranění veškerých klempířských prvků </t>
  </si>
  <si>
    <t>" Odstranění veškerých klempířských prvků  - např. lemování konzol, prostupu potrubí nad střechu, sloupků komínových lávek, ochrany proti holubům, dilatačních lišt, podkladních plechů, okapů, svodů, lemování střešních konstrukcí, parapetů, oplechování říms apod. "</t>
  </si>
  <si>
    <t>" V ceně také přesun a likvidace suti na recyklační skládku / do sběru  "</t>
  </si>
  <si>
    <t>Zámečnické prvky a výrobky</t>
  </si>
  <si>
    <t>Hydroizolace včetně penetračního nátěru</t>
  </si>
  <si>
    <t xml:space="preserve">" SDK " </t>
  </si>
  <si>
    <t xml:space="preserve">" Pohledy " </t>
  </si>
  <si>
    <t xml:space="preserve">Zdravotechnika </t>
  </si>
  <si>
    <t>Zdravotechnika objekt č. 3 - Specifikace dle PD</t>
  </si>
  <si>
    <t>" V položce jsou uvažovány demontáže potrubí, demontáže koncových prvků a zařizovacích předmětu včetně všech armatur a následné nové rozvody potrubí, nové zařizovací předměty včetě všech armatur. "</t>
  </si>
  <si>
    <t xml:space="preserve">" V ceně jsou zahrnuté veškeré práce i materiály potřebné pro jednotlivou profesi " </t>
  </si>
  <si>
    <t>Ústřední topení objekt č. 3 - Specifikace dle PD</t>
  </si>
  <si>
    <t xml:space="preserve">Ústřední topení </t>
  </si>
  <si>
    <t>" V položce jsou uvažovány demontáže potrubí, demontáže koncových prvků a otopných těles včetně všech armatur a následné nové rozvody potrubí, nové otopné tělesa včetě všech armatur. "</t>
  </si>
  <si>
    <t>" Všechna nová okna "</t>
  </si>
  <si>
    <t>Interiérové dveře -  s PO</t>
  </si>
  <si>
    <t>Zdravotechnika objekt č. 4 - Specifikace dle PD</t>
  </si>
  <si>
    <t xml:space="preserve">D+M Keramická dlažba </t>
  </si>
  <si>
    <t>" Keramická dlažba "</t>
  </si>
  <si>
    <t>" - Příprava podkladu, penetrační nátěr, izolace "</t>
  </si>
  <si>
    <t xml:space="preserve">D+M Epoxidová stěrka </t>
  </si>
  <si>
    <t>" Epoxidový nátěr  "</t>
  </si>
  <si>
    <t>" - příprava podkladu, přesun hmot  "</t>
  </si>
  <si>
    <t xml:space="preserve">D+M Přírodní linoleum </t>
  </si>
  <si>
    <t>" - Vysátí podkladu, příprava podkladu, přesun hmot"</t>
  </si>
  <si>
    <t>D+M Vinyl - Podlaha na stropní konstrukci - Specifikace dle PD</t>
  </si>
  <si>
    <t xml:space="preserve">CS ÚRS/TEO 2022 02 </t>
  </si>
  <si>
    <t>" Vinyl na stropní konstrukci "</t>
  </si>
  <si>
    <t>" - Vinyl lepený disperzním lepidlem "</t>
  </si>
  <si>
    <t>" Malby "</t>
  </si>
  <si>
    <t>762511901 SPC</t>
  </si>
  <si>
    <t>D+M Cementotřísková deska - Podlaha na půdě - Specifikace dle PD</t>
  </si>
  <si>
    <t>" Cementotřísková deska na půdě "</t>
  </si>
  <si>
    <t>" - Cementotřísková deska "</t>
  </si>
  <si>
    <t>" - Rošt pro pokládku desek vč. povrchové úpravy a případných nátěrů "</t>
  </si>
  <si>
    <t>" - Tepelná izolace "</t>
  </si>
  <si>
    <t xml:space="preserve"> " - Případné další vrstvy podlah - vyrovnávací stěrka, separace, geotextílie, parozábrana, difúzní fólie, apod. "</t>
  </si>
  <si>
    <t>" V ceně případné veškeré lišty (ukončovací , přechodové a dilatační lišty), podlahové pásky po obvodu místnosti, případné sokly a další veškeré nutné příslušenství. "</t>
  </si>
  <si>
    <t>Zdivo porobetonové tl. 250mm</t>
  </si>
  <si>
    <t>Zdivo vápenopískové tl. 240mm</t>
  </si>
  <si>
    <t xml:space="preserve">" Stěny " </t>
  </si>
  <si>
    <t>Nový strop dle PD</t>
  </si>
  <si>
    <t xml:space="preserve">" Nová stropní konstrukce  " </t>
  </si>
  <si>
    <t>" - Materiál i práce "</t>
  </si>
  <si>
    <t xml:space="preserve">" 1. NP, 2.NP " </t>
  </si>
  <si>
    <t>Odstranění veškerých vrstev střechy vč. veškerého příslušenství - Specifikace dle PD</t>
  </si>
  <si>
    <t>Bourání stávajících schodišť a stupňů vč. podest a mezipodest</t>
  </si>
  <si>
    <t>" Bourání vnitřního schodiště včetně mezipodest, případných soklíků a veškerého příslušenství  "</t>
  </si>
  <si>
    <t>" Bourání vztaženo na půdorysnou plochu schodiště. "</t>
  </si>
  <si>
    <t>" V ceně odvoz a likvidace suti na recyklační skládku. "</t>
  </si>
  <si>
    <t>Střecha - veškeré skladby</t>
  </si>
  <si>
    <t xml:space="preserve">" Střecha " </t>
  </si>
  <si>
    <t>Zdravotechnika objekt č. 2 - Specifikace dle PD</t>
  </si>
  <si>
    <t>Ústřední topení objekt č. 2 - Specifikace dle PD</t>
  </si>
  <si>
    <t>" V ceně např:
 - případné nátěry jednotlivých konstrukcí - fasády, vnitřních ocelových, apod;
 - nátěry konstrukci;
 - případná další nespecifikována zateplení;
 - práce a věci v množství větším, než je uvedeno;
 - případné akustické a jiné obklady a podhledy mimo ty uvedené;
 - příslušenství pro jednotlivé skladby neřešené;
 - případné prvky na schodiště - reflexní pásky, ochrana hran, jejich úprava,apod;
 - čistící zóny vč. příslušenství - venkovní;
 - výztuhy SDK konstrukcí pro upevnění prvků interiáru;
 - střešní výlez;
 - nátěry betonových prefabrikovaných konstrukcí;
 - repase veškerých prvků - truhlářských, zámečnickcých - dle původního stavu - např. kolem schodiště;
 - repase stávajících kamen vč. případného odvozu, dovozu, apod.;
 - případné úpravy podlah balkonů / repase;
 - úpravy zastřešní balkónů, předstupujících konstrukcí;
 - další práce a materiál nespecifikované související s provedením oddílů pro PSV jinde neuvedené. "</t>
  </si>
  <si>
    <t>Nové schodiště</t>
  </si>
  <si>
    <t xml:space="preserve">" Schodišťové konstrukce  " </t>
  </si>
  <si>
    <t>" - Případné další nutné práce a materiál pro provedení stropu "</t>
  </si>
  <si>
    <t>" - Případné další nutné práce a materiál pro provedení schodiště. "</t>
  </si>
  <si>
    <t>Odstranění zámečnických prvku</t>
  </si>
  <si>
    <t>" V položce jsou uvažovány demontáže potrubí, demontáže koncových prvků a jednotek včetně všech armatur a následné nové rozvody potrubí, nové jednotek včetě všech armatur. "</t>
  </si>
  <si>
    <t>Vzduchotechnika a chlazení objekt č. 2 - Specifikace dle PD</t>
  </si>
  <si>
    <t xml:space="preserve">Vzduchotechnika a chlazení </t>
  </si>
  <si>
    <t>Elektroinstalace</t>
  </si>
  <si>
    <t>Elektroinstalace objekt č. 2 - Specifikace dle PD</t>
  </si>
  <si>
    <t>" V položce jsou uvažovány demontáže kabely, demontáže koncových prvků a jednotek včetně všech rozvaděčů, svítidel a následné nové rozvody elektra, nové svítidla, rozvaděče atd. "</t>
  </si>
  <si>
    <t>Vzduchotechnika a chlazení objekt č. 3 - Specifikace dle PD</t>
  </si>
  <si>
    <t>Elektroinstalace objekt č. 3 - Specifikace dle PD</t>
  </si>
  <si>
    <t xml:space="preserve">" Vodorovná izolace na základové desky vč. penetrace " </t>
  </si>
  <si>
    <t>Zdravotechnika objekt č. 1 - Specifikace dle PD</t>
  </si>
  <si>
    <t>Ústřední topení objekt č. 1 - Specifikace dle PD</t>
  </si>
  <si>
    <t>OBJEKT 1</t>
  </si>
  <si>
    <t>OBJEKT 2</t>
  </si>
  <si>
    <t>OBJEKT 3</t>
  </si>
  <si>
    <t>OBJEKT 4</t>
  </si>
  <si>
    <t>OSTATNÍ NÁKLADY</t>
  </si>
  <si>
    <t>Část: Objekt 1</t>
  </si>
  <si>
    <t>Propočet nákladů stavby je zpracován na podkladě projektové dokumentace pro uzemni rozhodnuti + stavební povolení. 
Nedílnou součástí tohoto propočtu je projektová dokumentace pro uzemni rozhodnuti + stavební povolení.</t>
  </si>
  <si>
    <t>Zhotovitel je povinen nakládat se vzniklými odpady v souladu se zákonem č. 185/2001 Sb., o odpadech a související vyhláškou MŽP ČR č. 294/2005 Sb. o podmínkách ukládání odpadů na skládky a jejich využívání na povrchu terénu a změně vyhlášky š. 383/2001 Sb., o podrobnostech nakládání s odpady.</t>
  </si>
  <si>
    <t>DPH celkem</t>
  </si>
  <si>
    <t>Cena celkem za stavbu</t>
  </si>
  <si>
    <t>Základ pro DPH</t>
  </si>
  <si>
    <t>Královéhradecký kraj, Pivovarské nám. 1245, 500 03 Hradec Králové</t>
  </si>
  <si>
    <t>Stavba:  Revitalizace depozitáře Pouchov, Modernizace zázemí pro personál a ochrana fondu SVK v Hradci Králové</t>
  </si>
  <si>
    <t>Adéla Lubojacká</t>
  </si>
  <si>
    <t>Prefabrikované železobetonové stěny a sloupy</t>
  </si>
  <si>
    <t xml:space="preserve">" Prefabrikované ŽB stěny a sloupy " </t>
  </si>
  <si>
    <t>" - Doprava, materiál a práce "</t>
  </si>
  <si>
    <t>Nový monolitický strop nad 1.NP - Specifikace dle PD</t>
  </si>
  <si>
    <t>Prefabrikované schodiště v interiéru</t>
  </si>
  <si>
    <t xml:space="preserve">" Schodišťová konstrukce  " </t>
  </si>
  <si>
    <t>D+M Provedení zastřešení na konstrukci krovu - nezateplená střecha - Specifikace dle PD</t>
  </si>
  <si>
    <t>" Provedení skladby střechy nad nevytápěnou půdou. "</t>
  </si>
  <si>
    <t>" - Keramická drážková krytina vč. veškerých speciálních tašek - okrajových, hřebenových, úžlabních, polovičních, větracích, prostupových, apod.  "</t>
  </si>
  <si>
    <t>" - Případné další nutné práce a materiál pro provedení zastřešení krovu nad nevytápěnou půdou. "</t>
  </si>
  <si>
    <t>Elektroinstalace objekt č. 1 - Specifikace dle PD</t>
  </si>
  <si>
    <t>Vzduchotechnika a chlazení objekt č. 1 - Specifikace dle PD</t>
  </si>
  <si>
    <t>" - Příprava podkladu, penetrační nátěr, izolace, přesun hmot "</t>
  </si>
  <si>
    <t>Objekt 1</t>
  </si>
  <si>
    <t>Datum: 12/2023</t>
  </si>
  <si>
    <t>12</t>
  </si>
  <si>
    <t>" Bourání schodišť "</t>
  </si>
  <si>
    <t>26</t>
  </si>
  <si>
    <t>Řezání dilatačních spár v betonu / potěru vč. jejich výplně - Specifikace dle PD</t>
  </si>
  <si>
    <t>23</t>
  </si>
  <si>
    <t>317999902 SPC</t>
  </si>
  <si>
    <t>411322901 SPC</t>
  </si>
  <si>
    <t>720999102 SPC</t>
  </si>
  <si>
    <t>730999102 SPC</t>
  </si>
  <si>
    <t>740999102 SPC</t>
  </si>
  <si>
    <t>750999102 SPC</t>
  </si>
  <si>
    <t>317999904 SPC</t>
  </si>
  <si>
    <t>964999204 SPC</t>
  </si>
  <si>
    <t>964999205 SPC</t>
  </si>
  <si>
    <t>764999902 SPC</t>
  </si>
  <si>
    <t>767999902 SPC</t>
  </si>
  <si>
    <t>776099102 SPC</t>
  </si>
  <si>
    <t>311279901 SPC</t>
  </si>
  <si>
    <t>" - Cihly, spojovací materiál "</t>
  </si>
  <si>
    <t>311279902 SPC</t>
  </si>
  <si>
    <t>311279903 SPC</t>
  </si>
  <si>
    <t xml:space="preserve">POZNÁMKA: Součástí propočtu není vnitřní vybavení a regálový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</si>
</sst>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%"/>
    <numFmt numFmtId="165" formatCode="#,##0.000;\-#,##0.000"/>
    <numFmt numFmtId="166" formatCode="#,##0.000"/>
    <numFmt numFmtId="167" formatCode="h:mm;@"/>
    <numFmt numFmtId="168" formatCode="0.000"/>
    <numFmt numFmtId="169" formatCode="#,##0.00_ ;\-#,##0.00\ "/>
    <numFmt numFmtId="170" formatCode="0.00000"/>
    <numFmt numFmtId="171" formatCode="h:mm:ss;@"/>
    <numFmt numFmtId="172" formatCode="#,##0.0;\-#,##0.0"/>
    <numFmt numFmtId="173" formatCode="#,##0.00000;\-#,##0.00000"/>
  </numFmts>
  <fonts count="110">
    <font>
      <sz val="8"/>
      <name val="MS Sans Serif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indexed="9"/>
      <name val="Arial"/>
      <family val="2"/>
      <charset val="238"/>
    </font>
    <font>
      <sz val="11"/>
      <name val="Arial"/>
      <family val="2"/>
    </font>
    <font>
      <sz val="10"/>
      <name val="Helv"/>
      <family val="2"/>
    </font>
    <font>
      <sz val="10"/>
      <name val="Arial"/>
      <family val="2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8"/>
      <color indexed="12"/>
      <name val="Arial CE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FF0000"/>
      <name val="MS Sans Serif"/>
      <family val="2"/>
      <charset val="238"/>
    </font>
    <font>
      <sz val="8"/>
      <name val="MS Sans Serif"/>
      <charset val="1"/>
    </font>
    <font>
      <b/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1"/>
      <color rgb="FFFF0000"/>
      <name val="Arial CE"/>
      <family val="2"/>
      <charset val="238"/>
    </font>
    <font>
      <sz val="8"/>
      <name val="Arial CYR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8"/>
      <color theme="1"/>
      <name val="Trebuchet MS"/>
      <family val="2"/>
    </font>
    <font>
      <b/>
      <sz val="10"/>
      <name val="MS Sans Serif"/>
      <family val="2"/>
      <charset val="238"/>
    </font>
    <font>
      <b/>
      <sz val="10"/>
      <color rgb="FFFF0000"/>
      <name val="MS Sans Serif"/>
      <charset val="238"/>
    </font>
    <font>
      <sz val="8"/>
      <name val="MS Sans Serif"/>
      <family val="2"/>
    </font>
    <font>
      <b/>
      <sz val="14"/>
      <name val="Arial CE"/>
      <family val="2"/>
      <charset val="238"/>
    </font>
    <font>
      <b/>
      <sz val="10"/>
      <color rgb="FFFF0000"/>
      <name val="Arial CE"/>
      <family val="2"/>
      <charset val="238"/>
    </font>
    <font>
      <i/>
      <sz val="8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color rgb="FF0000FF"/>
      <name val="Arial CE"/>
      <family val="2"/>
      <charset val="238"/>
    </font>
    <font>
      <sz val="10"/>
      <name val="Arial CE"/>
      <family val="2"/>
    </font>
    <font>
      <sz val="8"/>
      <color rgb="FFFF0000"/>
      <name val="Arial CE"/>
      <family val="2"/>
      <charset val="238"/>
    </font>
    <font>
      <b/>
      <sz val="12"/>
      <color rgb="FFFF0000"/>
      <name val="MS Sans Serif"/>
      <family val="2"/>
      <charset val="238"/>
    </font>
    <font>
      <sz val="8"/>
      <color indexed="10"/>
      <name val="MS Sans Serif"/>
      <family val="2"/>
      <charset val="238"/>
    </font>
    <font>
      <u/>
      <sz val="8"/>
      <color theme="10"/>
      <name val="MS Sans Serif"/>
      <family val="2"/>
      <charset val="238"/>
    </font>
    <font>
      <b/>
      <sz val="12"/>
      <color rgb="FFFF0000"/>
      <name val="MS Sans Serif"/>
      <family val="2"/>
    </font>
    <font>
      <sz val="8"/>
      <color indexed="12"/>
      <name val="MS Sans Serif"/>
      <family val="2"/>
      <charset val="238"/>
    </font>
    <font>
      <b/>
      <sz val="10"/>
      <color rgb="FFFF0000"/>
      <name val="Trebuchet MS"/>
      <family val="2"/>
      <charset val="238"/>
    </font>
    <font>
      <b/>
      <sz val="9"/>
      <color rgb="FFFF0000"/>
      <name val="MS Sans Serif"/>
      <charset val="238"/>
    </font>
    <font>
      <b/>
      <sz val="18"/>
      <color theme="3" tint="0.39997558519241921"/>
      <name val="Arial CE"/>
      <family val="2"/>
      <charset val="238"/>
    </font>
    <font>
      <sz val="9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8"/>
      <color theme="10"/>
      <name val="MS Sans Serif"/>
      <family val="2"/>
    </font>
    <font>
      <b/>
      <sz val="8.5"/>
      <color indexed="10"/>
      <name val="MS Sans Serif"/>
      <family val="2"/>
    </font>
    <font>
      <b/>
      <sz val="12"/>
      <color indexed="10"/>
      <name val="MS Sans Serif"/>
      <charset val="238"/>
    </font>
    <font>
      <b/>
      <sz val="10"/>
      <name val="MS Sans Serif"/>
      <charset val="238"/>
    </font>
    <font>
      <b/>
      <u/>
      <sz val="8"/>
      <color indexed="10"/>
      <name val="Arial CE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MS Sans Serif"/>
    </font>
    <font>
      <b/>
      <sz val="9"/>
      <color rgb="FFFF0000"/>
      <name val="Arial CE"/>
      <family val="2"/>
      <charset val="238"/>
    </font>
    <font>
      <u/>
      <sz val="8"/>
      <color theme="10"/>
      <name val="MS Sans Serif"/>
      <charset val="1"/>
    </font>
    <font>
      <b/>
      <sz val="8"/>
      <name val="MS Sans Serif"/>
      <charset val="238"/>
    </font>
    <font>
      <sz val="12"/>
      <name val="MS Sans Serif"/>
    </font>
    <font>
      <b/>
      <sz val="12"/>
      <name val="MS Sans Serif"/>
      <charset val="238"/>
    </font>
    <font>
      <u/>
      <sz val="11"/>
      <color theme="10"/>
      <name val="Calibri"/>
      <family val="2"/>
      <charset val="238"/>
    </font>
    <font>
      <b/>
      <sz val="12"/>
      <color rgb="FFFF0000"/>
      <name val="Arial CE"/>
      <family val="2"/>
      <charset val="238"/>
    </font>
    <font>
      <b/>
      <sz val="9"/>
      <name val="MS Sans Serif"/>
      <charset val="238"/>
    </font>
    <font>
      <b/>
      <sz val="8"/>
      <name val="MS Sans Serif"/>
      <family val="2"/>
      <charset val="238"/>
    </font>
    <font>
      <sz val="8"/>
      <name val="Arial"/>
      <family val="2"/>
    </font>
    <font>
      <b/>
      <sz val="11"/>
      <color rgb="FFFF0000"/>
      <name val="Arial"/>
      <family val="2"/>
      <charset val="238"/>
    </font>
    <font>
      <b/>
      <sz val="8"/>
      <color indexed="12"/>
      <name val="MS Sans Serif"/>
      <family val="2"/>
      <charset val="238"/>
    </font>
    <font>
      <b/>
      <sz val="14"/>
      <color rgb="FFFF0000"/>
      <name val="MS Sans Serif"/>
      <charset val="238"/>
    </font>
    <font>
      <i/>
      <sz val="8"/>
      <name val="MS Sans Serif"/>
      <family val="2"/>
      <charset val="238"/>
    </font>
    <font>
      <b/>
      <sz val="9"/>
      <color rgb="FFFF0000"/>
      <name val="Arial"/>
      <family val="2"/>
      <charset val="238"/>
    </font>
    <font>
      <b/>
      <sz val="8.5"/>
      <color rgb="FFFF0000"/>
      <name val="MS Sans Serif"/>
      <family val="2"/>
      <charset val="238"/>
    </font>
    <font>
      <b/>
      <u/>
      <sz val="8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Trebuchet MS"/>
      <family val="2"/>
      <charset val="238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rgb="FFFF0000"/>
      <name val="MS Sans Serif"/>
      <family val="2"/>
      <charset val="238"/>
    </font>
    <font>
      <b/>
      <sz val="9"/>
      <color rgb="FFFF0000"/>
      <name val="MS Sans Serif"/>
      <family val="2"/>
      <charset val="238"/>
    </font>
    <font>
      <b/>
      <sz val="8"/>
      <color indexed="12"/>
      <name val="MS Sans Serif"/>
      <charset val="238"/>
    </font>
    <font>
      <sz val="8"/>
      <name val="Arial CE"/>
      <family val="2"/>
    </font>
    <font>
      <b/>
      <sz val="16"/>
      <color theme="1"/>
      <name val="Calibri"/>
      <family val="2"/>
      <charset val="238"/>
      <scheme val="minor"/>
    </font>
    <font>
      <b/>
      <sz val="12"/>
      <name val="MS Sans Serif"/>
      <family val="2"/>
    </font>
    <font>
      <i/>
      <sz val="11"/>
      <color theme="1"/>
      <name val="Calibri"/>
      <family val="2"/>
      <scheme val="minor"/>
    </font>
    <font>
      <sz val="9"/>
      <color theme="1"/>
      <name val="Arial CE"/>
      <family val="2"/>
      <charset val="238"/>
    </font>
    <font>
      <sz val="7"/>
      <name val="Arial"/>
      <family val="2"/>
    </font>
    <font>
      <i/>
      <sz val="8"/>
      <color rgb="FF0000FF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  <font>
      <sz val="11"/>
      <color rgb="FFFF0000"/>
      <name val="Arial"/>
      <family val="2"/>
    </font>
    <font>
      <sz val="9"/>
      <name val="Arial"/>
      <family val="2"/>
    </font>
    <font>
      <b/>
      <sz val="1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8">
    <xf numFmtId="0" fontId="0" fillId="0" borderId="0" applyAlignment="0">
      <alignment vertical="top" wrapText="1"/>
      <protection locked="0"/>
    </xf>
    <xf numFmtId="0" fontId="18" fillId="0" borderId="0" applyFill="0" applyBorder="0" applyProtection="0"/>
    <xf numFmtId="0" fontId="9" fillId="0" borderId="0"/>
    <xf numFmtId="0" fontId="7" fillId="0" borderId="0"/>
    <xf numFmtId="0" fontId="21" fillId="0" borderId="0"/>
    <xf numFmtId="0" fontId="9" fillId="0" borderId="0"/>
    <xf numFmtId="0" fontId="9" fillId="0" borderId="0"/>
    <xf numFmtId="0" fontId="9" fillId="0" borderId="0" applyAlignment="0">
      <alignment vertical="top" wrapText="1"/>
      <protection locked="0"/>
    </xf>
    <xf numFmtId="0" fontId="7" fillId="0" borderId="0"/>
    <xf numFmtId="0" fontId="9" fillId="0" borderId="0"/>
    <xf numFmtId="0" fontId="7" fillId="0" borderId="0"/>
    <xf numFmtId="0" fontId="5" fillId="0" borderId="0"/>
    <xf numFmtId="0" fontId="8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7" fillId="0" borderId="0"/>
    <xf numFmtId="0" fontId="7" fillId="0" borderId="0"/>
    <xf numFmtId="0" fontId="7" fillId="0" borderId="0"/>
    <xf numFmtId="0" fontId="19" fillId="0" borderId="0"/>
    <xf numFmtId="0" fontId="20" fillId="0" borderId="0" applyFont="0" applyFill="0" applyBorder="0" applyAlignment="0" applyProtection="0"/>
    <xf numFmtId="0" fontId="9" fillId="0" borderId="0"/>
    <xf numFmtId="0" fontId="7" fillId="0" borderId="0"/>
    <xf numFmtId="0" fontId="7" fillId="0" borderId="0"/>
    <xf numFmtId="0" fontId="8" fillId="0" borderId="0" applyAlignment="0">
      <alignment vertical="top" wrapText="1"/>
      <protection locked="0"/>
    </xf>
    <xf numFmtId="0" fontId="4" fillId="0" borderId="0"/>
    <xf numFmtId="0" fontId="8" fillId="0" borderId="0" applyAlignment="0">
      <alignment vertical="top" wrapText="1"/>
      <protection locked="0"/>
    </xf>
    <xf numFmtId="0" fontId="4" fillId="0" borderId="0"/>
    <xf numFmtId="0" fontId="35" fillId="0" borderId="0"/>
    <xf numFmtId="0" fontId="37" fillId="0" borderId="0"/>
    <xf numFmtId="0" fontId="4" fillId="0" borderId="0"/>
    <xf numFmtId="0" fontId="40" fillId="0" borderId="0" applyAlignment="0">
      <alignment vertical="top" wrapText="1"/>
      <protection locked="0"/>
    </xf>
    <xf numFmtId="0" fontId="35" fillId="0" borderId="0"/>
    <xf numFmtId="0" fontId="37" fillId="0" borderId="0"/>
    <xf numFmtId="0" fontId="9" fillId="0" borderId="0"/>
    <xf numFmtId="0" fontId="7" fillId="0" borderId="0"/>
    <xf numFmtId="0" fontId="20" fillId="0" borderId="0"/>
    <xf numFmtId="0" fontId="7" fillId="0" borderId="0"/>
    <xf numFmtId="0" fontId="4" fillId="0" borderId="0"/>
    <xf numFmtId="0" fontId="8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51" fillId="0" borderId="0" applyNumberFormat="0" applyFill="0" applyBorder="0" applyAlignment="0" applyProtection="0">
      <alignment vertical="top" wrapText="1"/>
      <protection locked="0"/>
    </xf>
    <xf numFmtId="0" fontId="9" fillId="0" borderId="0"/>
    <xf numFmtId="0" fontId="4" fillId="0" borderId="0"/>
    <xf numFmtId="0" fontId="4" fillId="0" borderId="0"/>
    <xf numFmtId="0" fontId="8" fillId="0" borderId="0" applyAlignment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35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 wrapText="1"/>
      <protection locked="0"/>
    </xf>
    <xf numFmtId="0" fontId="40" fillId="0" borderId="0" applyAlignment="0">
      <alignment vertical="top" wrapText="1"/>
      <protection locked="0"/>
    </xf>
    <xf numFmtId="0" fontId="4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28" fillId="0" borderId="0" applyAlignment="0">
      <alignment vertical="top" wrapText="1"/>
      <protection locked="0"/>
    </xf>
    <xf numFmtId="0" fontId="9" fillId="0" borderId="0"/>
    <xf numFmtId="0" fontId="4" fillId="0" borderId="0"/>
    <xf numFmtId="0" fontId="35" fillId="0" borderId="0"/>
    <xf numFmtId="0" fontId="70" fillId="0" borderId="0" applyNumberFormat="0" applyFill="0" applyBorder="0" applyAlignment="0" applyProtection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0" fillId="0" borderId="0" applyAlignment="0">
      <alignment vertical="top" wrapText="1"/>
      <protection locked="0"/>
    </xf>
    <xf numFmtId="0" fontId="4" fillId="0" borderId="0"/>
    <xf numFmtId="0" fontId="74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7" fillId="0" borderId="0"/>
    <xf numFmtId="0" fontId="8" fillId="0" borderId="0" applyAlignment="0">
      <alignment vertical="top" wrapText="1"/>
      <protection locked="0"/>
    </xf>
    <xf numFmtId="0" fontId="28" fillId="0" borderId="0" applyAlignment="0">
      <alignment vertical="top" wrapText="1"/>
      <protection locked="0"/>
    </xf>
    <xf numFmtId="0" fontId="4" fillId="0" borderId="0"/>
    <xf numFmtId="0" fontId="7" fillId="0" borderId="0"/>
    <xf numFmtId="0" fontId="4" fillId="0" borderId="0"/>
    <xf numFmtId="0" fontId="4" fillId="0" borderId="0"/>
    <xf numFmtId="0" fontId="28" fillId="0" borderId="0" applyAlignment="0">
      <alignment vertical="top" wrapText="1"/>
      <protection locked="0"/>
    </xf>
    <xf numFmtId="0" fontId="7" fillId="0" borderId="0"/>
    <xf numFmtId="0" fontId="8" fillId="0" borderId="0" applyAlignment="0">
      <alignment vertical="top" wrapText="1"/>
      <protection locked="0"/>
    </xf>
    <xf numFmtId="0" fontId="3" fillId="0" borderId="0"/>
    <xf numFmtId="0" fontId="86" fillId="0" borderId="0" applyNumberFormat="0" applyFill="0" applyBorder="0" applyAlignment="0" applyProtection="0"/>
    <xf numFmtId="0" fontId="35" fillId="0" borderId="0"/>
    <xf numFmtId="0" fontId="8" fillId="0" borderId="0" applyAlignment="0">
      <alignment vertical="top" wrapText="1"/>
      <protection locked="0"/>
    </xf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0" fillId="0" borderId="0"/>
    <xf numFmtId="0" fontId="47" fillId="0" borderId="0"/>
    <xf numFmtId="0" fontId="7" fillId="0" borderId="0"/>
    <xf numFmtId="0" fontId="2" fillId="0" borderId="0"/>
    <xf numFmtId="0" fontId="37" fillId="0" borderId="0"/>
    <xf numFmtId="0" fontId="8" fillId="0" borderId="0" applyAlignment="0">
      <alignment vertical="top" wrapText="1"/>
      <protection locked="0"/>
    </xf>
    <xf numFmtId="0" fontId="9" fillId="0" borderId="0" applyAlignment="0">
      <alignment vertical="top" wrapText="1"/>
      <protection locked="0"/>
    </xf>
    <xf numFmtId="0" fontId="108" fillId="0" borderId="0" applyAlignment="0">
      <alignment vertical="top" wrapText="1"/>
      <protection locked="0"/>
    </xf>
  </cellStyleXfs>
  <cellXfs count="685">
    <xf numFmtId="0" fontId="0" fillId="0" borderId="0" xfId="0" applyAlignment="1">
      <alignment vertical="top"/>
      <protection locked="0"/>
    </xf>
    <xf numFmtId="0" fontId="9" fillId="0" borderId="0" xfId="8" applyFont="1"/>
    <xf numFmtId="0" fontId="10" fillId="0" borderId="0" xfId="8" applyFont="1" applyAlignment="1">
      <alignment horizontal="center"/>
    </xf>
    <xf numFmtId="0" fontId="11" fillId="0" borderId="0" xfId="8" applyFont="1" applyAlignment="1">
      <alignment horizontal="left"/>
    </xf>
    <xf numFmtId="0" fontId="14" fillId="0" borderId="0" xfId="8" applyFont="1"/>
    <xf numFmtId="0" fontId="12" fillId="0" borderId="0" xfId="8" applyFont="1" applyAlignment="1">
      <alignment horizontal="left" vertical="top" wrapText="1"/>
    </xf>
    <xf numFmtId="0" fontId="7" fillId="0" borderId="0" xfId="8" applyAlignment="1">
      <alignment vertical="top" wrapText="1"/>
    </xf>
    <xf numFmtId="0" fontId="14" fillId="0" borderId="0" xfId="8" applyFont="1" applyAlignment="1">
      <alignment horizontal="left" vertical="center"/>
    </xf>
    <xf numFmtId="0" fontId="9" fillId="0" borderId="0" xfId="8" applyFont="1" applyAlignment="1">
      <alignment horizontal="left"/>
    </xf>
    <xf numFmtId="0" fontId="9" fillId="0" borderId="0" xfId="8" applyFont="1" applyAlignment="1">
      <alignment horizontal="right"/>
    </xf>
    <xf numFmtId="0" fontId="16" fillId="2" borderId="1" xfId="8" applyFont="1" applyFill="1" applyBorder="1" applyAlignment="1">
      <alignment wrapText="1"/>
    </xf>
    <xf numFmtId="0" fontId="16" fillId="2" borderId="2" xfId="8" applyFont="1" applyFill="1" applyBorder="1" applyAlignment="1">
      <alignment wrapText="1"/>
    </xf>
    <xf numFmtId="0" fontId="16" fillId="2" borderId="3" xfId="8" applyFont="1" applyFill="1" applyBorder="1" applyAlignment="1">
      <alignment wrapText="1"/>
    </xf>
    <xf numFmtId="0" fontId="16" fillId="2" borderId="1" xfId="8" applyFont="1" applyFill="1" applyBorder="1" applyAlignment="1">
      <alignment horizontal="right" wrapText="1"/>
    </xf>
    <xf numFmtId="0" fontId="9" fillId="2" borderId="2" xfId="8" applyFont="1" applyFill="1" applyBorder="1"/>
    <xf numFmtId="0" fontId="16" fillId="2" borderId="2" xfId="8" applyFont="1" applyFill="1" applyBorder="1" applyAlignment="1">
      <alignment horizontal="right" wrapText="1"/>
    </xf>
    <xf numFmtId="0" fontId="14" fillId="2" borderId="3" xfId="8" applyFont="1" applyFill="1" applyBorder="1" applyAlignment="1">
      <alignment horizontal="right"/>
    </xf>
    <xf numFmtId="0" fontId="9" fillId="0" borderId="4" xfId="8" applyFont="1" applyBorder="1" applyAlignment="1">
      <alignment vertical="center"/>
    </xf>
    <xf numFmtId="0" fontId="9" fillId="0" borderId="0" xfId="8" applyFont="1" applyAlignment="1">
      <alignment vertical="center"/>
    </xf>
    <xf numFmtId="1" fontId="9" fillId="0" borderId="0" xfId="8" applyNumberFormat="1" applyFont="1" applyAlignment="1">
      <alignment horizontal="right" vertical="center"/>
    </xf>
    <xf numFmtId="0" fontId="9" fillId="0" borderId="5" xfId="8" applyFont="1" applyBorder="1" applyAlignment="1">
      <alignment vertical="center"/>
    </xf>
    <xf numFmtId="4" fontId="9" fillId="0" borderId="4" xfId="8" applyNumberFormat="1" applyFont="1" applyBorder="1" applyAlignment="1">
      <alignment horizontal="right" vertical="center"/>
    </xf>
    <xf numFmtId="4" fontId="9" fillId="0" borderId="0" xfId="8" applyNumberFormat="1" applyFont="1" applyAlignment="1">
      <alignment horizontal="right" vertical="center"/>
    </xf>
    <xf numFmtId="4" fontId="9" fillId="0" borderId="5" xfId="8" applyNumberFormat="1" applyFont="1" applyBorder="1" applyAlignment="1">
      <alignment horizontal="right" vertical="center"/>
    </xf>
    <xf numFmtId="0" fontId="12" fillId="3" borderId="1" xfId="8" applyFont="1" applyFill="1" applyBorder="1" applyAlignment="1">
      <alignment vertical="center"/>
    </xf>
    <xf numFmtId="0" fontId="14" fillId="3" borderId="2" xfId="8" applyFont="1" applyFill="1" applyBorder="1" applyAlignment="1">
      <alignment vertical="center"/>
    </xf>
    <xf numFmtId="0" fontId="9" fillId="3" borderId="2" xfId="8" applyFont="1" applyFill="1" applyBorder="1" applyAlignment="1">
      <alignment vertical="center"/>
    </xf>
    <xf numFmtId="4" fontId="12" fillId="3" borderId="9" xfId="8" applyNumberFormat="1" applyFont="1" applyFill="1" applyBorder="1" applyAlignment="1">
      <alignment horizontal="right" vertical="center"/>
    </xf>
    <xf numFmtId="4" fontId="12" fillId="3" borderId="10" xfId="8" applyNumberFormat="1" applyFont="1" applyFill="1" applyBorder="1" applyAlignment="1">
      <alignment horizontal="right" vertical="center"/>
    </xf>
    <xf numFmtId="3" fontId="12" fillId="4" borderId="11" xfId="8" applyNumberFormat="1" applyFont="1" applyFill="1" applyBorder="1" applyAlignment="1">
      <alignment horizontal="right" vertical="center"/>
    </xf>
    <xf numFmtId="0" fontId="12" fillId="0" borderId="0" xfId="8" applyFont="1" applyAlignment="1">
      <alignment horizontal="left"/>
    </xf>
    <xf numFmtId="0" fontId="16" fillId="2" borderId="1" xfId="8" applyFont="1" applyFill="1" applyBorder="1" applyAlignment="1">
      <alignment vertical="center"/>
    </xf>
    <xf numFmtId="0" fontId="14" fillId="2" borderId="2" xfId="8" applyFont="1" applyFill="1" applyBorder="1" applyAlignment="1">
      <alignment vertical="center"/>
    </xf>
    <xf numFmtId="0" fontId="14" fillId="2" borderId="3" xfId="8" applyFont="1" applyFill="1" applyBorder="1" applyAlignment="1">
      <alignment vertical="center" wrapText="1"/>
    </xf>
    <xf numFmtId="49" fontId="15" fillId="0" borderId="4" xfId="8" applyNumberFormat="1" applyFont="1" applyBorder="1" applyAlignment="1">
      <alignment horizontal="left"/>
    </xf>
    <xf numFmtId="0" fontId="15" fillId="0" borderId="0" xfId="8" applyFont="1" applyAlignment="1">
      <alignment horizontal="left"/>
    </xf>
    <xf numFmtId="0" fontId="15" fillId="0" borderId="0" xfId="8" applyFont="1"/>
    <xf numFmtId="164" fontId="15" fillId="0" borderId="0" xfId="8" applyNumberFormat="1" applyFont="1"/>
    <xf numFmtId="3" fontId="16" fillId="0" borderId="13" xfId="8" applyNumberFormat="1" applyFont="1" applyBorder="1" applyAlignment="1">
      <alignment horizontal="right"/>
    </xf>
    <xf numFmtId="3" fontId="15" fillId="0" borderId="13" xfId="8" applyNumberFormat="1" applyFont="1" applyBorder="1" applyAlignment="1">
      <alignment horizontal="right"/>
    </xf>
    <xf numFmtId="49" fontId="15" fillId="0" borderId="14" xfId="8" applyNumberFormat="1" applyFont="1" applyBorder="1" applyAlignment="1">
      <alignment horizontal="left"/>
    </xf>
    <xf numFmtId="0" fontId="16" fillId="3" borderId="1" xfId="8" applyFont="1" applyFill="1" applyBorder="1" applyAlignment="1">
      <alignment vertical="center"/>
    </xf>
    <xf numFmtId="49" fontId="16" fillId="3" borderId="2" xfId="8" applyNumberFormat="1" applyFont="1" applyFill="1" applyBorder="1" applyAlignment="1">
      <alignment horizontal="left" vertical="center"/>
    </xf>
    <xf numFmtId="0" fontId="16" fillId="3" borderId="2" xfId="8" applyFont="1" applyFill="1" applyBorder="1" applyAlignment="1">
      <alignment vertical="center"/>
    </xf>
    <xf numFmtId="164" fontId="15" fillId="3" borderId="3" xfId="8" applyNumberFormat="1" applyFont="1" applyFill="1" applyBorder="1"/>
    <xf numFmtId="3" fontId="16" fillId="3" borderId="12" xfId="8" applyNumberFormat="1" applyFont="1" applyFill="1" applyBorder="1" applyAlignment="1">
      <alignment horizontal="right" vertical="center"/>
    </xf>
    <xf numFmtId="0" fontId="9" fillId="0" borderId="0" xfId="8" applyFont="1" applyAlignment="1">
      <alignment horizontal="left" vertical="top" wrapText="1"/>
    </xf>
    <xf numFmtId="0" fontId="6" fillId="0" borderId="0" xfId="16" applyFont="1"/>
    <xf numFmtId="0" fontId="6" fillId="0" borderId="0" xfId="8" applyFont="1"/>
    <xf numFmtId="3" fontId="15" fillId="0" borderId="17" xfId="8" applyNumberFormat="1" applyFont="1" applyBorder="1" applyAlignment="1">
      <alignment horizontal="right"/>
    </xf>
    <xf numFmtId="0" fontId="9" fillId="0" borderId="0" xfId="8" applyFont="1" applyAlignment="1">
      <alignment horizontal="center"/>
    </xf>
    <xf numFmtId="0" fontId="6" fillId="0" borderId="0" xfId="21" applyFont="1" applyAlignment="1">
      <alignment vertical="center"/>
    </xf>
    <xf numFmtId="3" fontId="24" fillId="0" borderId="0" xfId="8" applyNumberFormat="1" applyFont="1" applyAlignment="1">
      <alignment horizontal="right"/>
    </xf>
    <xf numFmtId="0" fontId="10" fillId="0" borderId="0" xfId="8" applyFont="1"/>
    <xf numFmtId="14" fontId="15" fillId="0" borderId="0" xfId="8" applyNumberFormat="1" applyFont="1" applyAlignment="1">
      <alignment horizontal="left"/>
    </xf>
    <xf numFmtId="0" fontId="16" fillId="0" borderId="0" xfId="8" applyFont="1" applyAlignment="1">
      <alignment horizontal="right" wrapText="1"/>
    </xf>
    <xf numFmtId="4" fontId="9" fillId="0" borderId="0" xfId="8" applyNumberFormat="1" applyFont="1" applyAlignment="1">
      <alignment vertical="center"/>
    </xf>
    <xf numFmtId="4" fontId="14" fillId="0" borderId="0" xfId="8" applyNumberFormat="1" applyFont="1" applyAlignment="1">
      <alignment vertical="center"/>
    </xf>
    <xf numFmtId="3" fontId="24" fillId="0" borderId="0" xfId="8" applyNumberFormat="1" applyFont="1"/>
    <xf numFmtId="3" fontId="9" fillId="0" borderId="0" xfId="8" applyNumberFormat="1" applyFont="1"/>
    <xf numFmtId="4" fontId="9" fillId="0" borderId="0" xfId="8" applyNumberFormat="1" applyFont="1"/>
    <xf numFmtId="3" fontId="24" fillId="0" borderId="0" xfId="8" applyNumberFormat="1" applyFont="1" applyAlignment="1">
      <alignment horizontal="left"/>
    </xf>
    <xf numFmtId="4" fontId="6" fillId="0" borderId="0" xfId="16" applyNumberFormat="1" applyFont="1"/>
    <xf numFmtId="0" fontId="6" fillId="0" borderId="0" xfId="16" applyFont="1" applyAlignment="1">
      <alignment wrapText="1"/>
    </xf>
    <xf numFmtId="0" fontId="12" fillId="0" borderId="0" xfId="8" applyFont="1" applyAlignment="1">
      <alignment horizontal="left" vertical="center"/>
    </xf>
    <xf numFmtId="0" fontId="6" fillId="0" borderId="0" xfId="21" applyFont="1" applyAlignment="1">
      <alignment horizontal="center" vertical="center" wrapText="1"/>
    </xf>
    <xf numFmtId="0" fontId="17" fillId="0" borderId="0" xfId="16" applyFont="1" applyAlignment="1">
      <alignment wrapText="1"/>
    </xf>
    <xf numFmtId="0" fontId="17" fillId="0" borderId="0" xfId="16" applyFont="1"/>
    <xf numFmtId="49" fontId="16" fillId="0" borderId="14" xfId="8" applyNumberFormat="1" applyFont="1" applyBorder="1" applyAlignment="1">
      <alignment horizontal="left"/>
    </xf>
    <xf numFmtId="3" fontId="15" fillId="0" borderId="15" xfId="8" applyNumberFormat="1" applyFont="1" applyBorder="1" applyAlignment="1">
      <alignment horizontal="right"/>
    </xf>
    <xf numFmtId="3" fontId="15" fillId="0" borderId="16" xfId="8" applyNumberFormat="1" applyFont="1" applyBorder="1" applyAlignment="1">
      <alignment horizontal="right"/>
    </xf>
    <xf numFmtId="39" fontId="5" fillId="0" borderId="20" xfId="3" applyNumberFormat="1" applyFont="1" applyBorder="1" applyAlignment="1" applyProtection="1">
      <alignment horizontal="right"/>
      <protection locked="0"/>
    </xf>
    <xf numFmtId="39" fontId="5" fillId="0" borderId="20" xfId="31" applyNumberFormat="1" applyFont="1" applyBorder="1" applyAlignment="1" applyProtection="1">
      <alignment horizontal="center"/>
      <protection locked="0"/>
    </xf>
    <xf numFmtId="0" fontId="5" fillId="0" borderId="20" xfId="35" applyFont="1" applyBorder="1" applyAlignment="1" applyProtection="1">
      <alignment horizontal="left" wrapText="1"/>
      <protection locked="0"/>
    </xf>
    <xf numFmtId="0" fontId="20" fillId="0" borderId="0" xfId="34" applyAlignment="1" applyProtection="1">
      <alignment horizontal="left" vertical="top"/>
      <protection locked="0"/>
    </xf>
    <xf numFmtId="0" fontId="20" fillId="0" borderId="0" xfId="34"/>
    <xf numFmtId="0" fontId="25" fillId="0" borderId="20" xfId="35" applyFont="1" applyBorder="1" applyAlignment="1" applyProtection="1">
      <alignment horizontal="left" wrapText="1"/>
      <protection locked="0"/>
    </xf>
    <xf numFmtId="0" fontId="46" fillId="0" borderId="20" xfId="35" applyFont="1" applyBorder="1" applyAlignment="1" applyProtection="1">
      <alignment horizontal="left" wrapText="1"/>
      <protection locked="0"/>
    </xf>
    <xf numFmtId="0" fontId="7" fillId="0" borderId="0" xfId="35" applyAlignment="1" applyProtection="1">
      <alignment horizontal="left" vertical="top"/>
      <protection locked="0"/>
    </xf>
    <xf numFmtId="0" fontId="25" fillId="0" borderId="20" xfId="34" applyFont="1" applyBorder="1" applyAlignment="1" applyProtection="1">
      <alignment horizontal="left" wrapText="1"/>
      <protection locked="0"/>
    </xf>
    <xf numFmtId="0" fontId="25" fillId="0" borderId="20" xfId="12" applyFont="1" applyBorder="1" applyAlignment="1">
      <alignment horizontal="left" wrapText="1"/>
      <protection locked="0"/>
    </xf>
    <xf numFmtId="37" fontId="45" fillId="0" borderId="20" xfId="34" applyNumberFormat="1" applyFont="1" applyBorder="1" applyAlignment="1" applyProtection="1">
      <alignment horizontal="right"/>
      <protection locked="0"/>
    </xf>
    <xf numFmtId="49" fontId="45" fillId="0" borderId="20" xfId="34" applyNumberFormat="1" applyFont="1" applyBorder="1" applyAlignment="1" applyProtection="1">
      <alignment horizontal="left" wrapText="1"/>
      <protection locked="0"/>
    </xf>
    <xf numFmtId="0" fontId="45" fillId="0" borderId="20" xfId="34" applyFont="1" applyBorder="1" applyAlignment="1" applyProtection="1">
      <alignment horizontal="left" wrapText="1"/>
      <protection locked="0"/>
    </xf>
    <xf numFmtId="0" fontId="25" fillId="0" borderId="20" xfId="38" applyFont="1" applyBorder="1" applyAlignment="1">
      <alignment horizontal="left" vertical="center" wrapText="1"/>
      <protection locked="0"/>
    </xf>
    <xf numFmtId="166" fontId="25" fillId="0" borderId="20" xfId="34" applyNumberFormat="1" applyFont="1" applyBorder="1" applyAlignment="1" applyProtection="1">
      <alignment horizontal="right"/>
      <protection locked="0"/>
    </xf>
    <xf numFmtId="4" fontId="5" fillId="0" borderId="20" xfId="34" applyNumberFormat="1" applyFont="1" applyBorder="1" applyAlignment="1" applyProtection="1">
      <alignment horizontal="right"/>
      <protection locked="0"/>
    </xf>
    <xf numFmtId="0" fontId="49" fillId="0" borderId="20" xfId="34" applyFont="1" applyBorder="1" applyAlignment="1" applyProtection="1">
      <alignment horizontal="right" vertical="center"/>
      <protection locked="0"/>
    </xf>
    <xf numFmtId="0" fontId="8" fillId="0" borderId="0" xfId="22" applyAlignment="1">
      <alignment horizontal="left" vertical="top"/>
      <protection locked="0"/>
    </xf>
    <xf numFmtId="0" fontId="5" fillId="0" borderId="20" xfId="12" applyFont="1" applyBorder="1" applyAlignment="1">
      <alignment horizontal="left" wrapText="1"/>
      <protection locked="0"/>
    </xf>
    <xf numFmtId="0" fontId="56" fillId="0" borderId="20" xfId="12" applyFont="1" applyBorder="1" applyAlignment="1">
      <alignment horizontal="center" vertical="center" wrapText="1"/>
      <protection locked="0"/>
    </xf>
    <xf numFmtId="4" fontId="5" fillId="0" borderId="20" xfId="12" applyNumberFormat="1" applyFont="1" applyBorder="1" applyAlignment="1">
      <alignment horizontal="right"/>
      <protection locked="0"/>
    </xf>
    <xf numFmtId="0" fontId="8" fillId="0" borderId="0" xfId="12" applyAlignment="1">
      <alignment horizontal="left" vertical="top"/>
      <protection locked="0"/>
    </xf>
    <xf numFmtId="0" fontId="5" fillId="0" borderId="20" xfId="44" applyFont="1" applyBorder="1" applyAlignment="1">
      <alignment horizontal="left" wrapText="1"/>
      <protection locked="0"/>
    </xf>
    <xf numFmtId="0" fontId="7" fillId="0" borderId="0" xfId="8" applyAlignment="1" applyProtection="1">
      <alignment horizontal="left" vertical="top"/>
      <protection locked="0"/>
    </xf>
    <xf numFmtId="0" fontId="40" fillId="0" borderId="0" xfId="48" applyAlignment="1" applyProtection="1"/>
    <xf numFmtId="37" fontId="5" fillId="0" borderId="20" xfId="26" applyNumberFormat="1" applyFont="1" applyBorder="1" applyAlignment="1" applyProtection="1">
      <alignment horizontal="right"/>
      <protection locked="0"/>
    </xf>
    <xf numFmtId="0" fontId="5" fillId="0" borderId="20" xfId="26" applyFont="1" applyBorder="1" applyAlignment="1" applyProtection="1">
      <alignment horizontal="left" wrapText="1"/>
      <protection locked="0"/>
    </xf>
    <xf numFmtId="4" fontId="5" fillId="0" borderId="20" xfId="26" applyNumberFormat="1" applyFont="1" applyBorder="1" applyAlignment="1" applyProtection="1">
      <alignment horizontal="right"/>
      <protection locked="0"/>
    </xf>
    <xf numFmtId="39" fontId="5" fillId="0" borderId="20" xfId="26" applyNumberFormat="1" applyFont="1" applyBorder="1" applyAlignment="1" applyProtection="1">
      <alignment horizontal="center"/>
      <protection locked="0"/>
    </xf>
    <xf numFmtId="0" fontId="35" fillId="0" borderId="0" xfId="26" applyAlignment="1" applyProtection="1">
      <alignment horizontal="left" vertical="top"/>
      <protection locked="0"/>
    </xf>
    <xf numFmtId="0" fontId="25" fillId="0" borderId="20" xfId="26" applyFont="1" applyBorder="1" applyAlignment="1" applyProtection="1">
      <alignment horizontal="left" wrapText="1"/>
      <protection locked="0"/>
    </xf>
    <xf numFmtId="37" fontId="45" fillId="0" borderId="20" xfId="26" applyNumberFormat="1" applyFont="1" applyBorder="1" applyAlignment="1" applyProtection="1">
      <alignment horizontal="right"/>
      <protection locked="0"/>
    </xf>
    <xf numFmtId="0" fontId="45" fillId="0" borderId="20" xfId="26" applyFont="1" applyBorder="1" applyAlignment="1" applyProtection="1">
      <alignment horizontal="left" wrapText="1"/>
      <protection locked="0"/>
    </xf>
    <xf numFmtId="4" fontId="45" fillId="0" borderId="20" xfId="26" applyNumberFormat="1" applyFont="1" applyBorder="1" applyAlignment="1" applyProtection="1">
      <alignment horizontal="right"/>
      <protection locked="0"/>
    </xf>
    <xf numFmtId="49" fontId="5" fillId="0" borderId="20" xfId="26" applyNumberFormat="1" applyFont="1" applyBorder="1" applyAlignment="1" applyProtection="1">
      <alignment horizontal="left" wrapText="1"/>
      <protection locked="0"/>
    </xf>
    <xf numFmtId="39" fontId="5" fillId="0" borderId="20" xfId="26" applyNumberFormat="1" applyFont="1" applyBorder="1" applyAlignment="1" applyProtection="1">
      <alignment horizontal="right"/>
      <protection locked="0"/>
    </xf>
    <xf numFmtId="49" fontId="45" fillId="0" borderId="20" xfId="26" applyNumberFormat="1" applyFont="1" applyBorder="1" applyAlignment="1" applyProtection="1">
      <alignment horizontal="left" wrapText="1"/>
      <protection locked="0"/>
    </xf>
    <xf numFmtId="0" fontId="25" fillId="0" borderId="20" xfId="52" applyFont="1" applyBorder="1" applyAlignment="1" applyProtection="1">
      <alignment horizontal="left" vertical="center" wrapText="1"/>
      <protection locked="0"/>
    </xf>
    <xf numFmtId="0" fontId="35" fillId="0" borderId="20" xfId="26" applyBorder="1" applyAlignment="1" applyProtection="1">
      <alignment horizontal="left" vertical="top"/>
      <protection locked="0"/>
    </xf>
    <xf numFmtId="39" fontId="45" fillId="0" borderId="20" xfId="26" applyNumberFormat="1" applyFont="1" applyBorder="1" applyAlignment="1" applyProtection="1">
      <alignment horizontal="right"/>
      <protection locked="0"/>
    </xf>
    <xf numFmtId="0" fontId="35" fillId="0" borderId="0" xfId="26" applyAlignment="1" applyProtection="1">
      <alignment vertical="top"/>
      <protection locked="0"/>
    </xf>
    <xf numFmtId="0" fontId="53" fillId="0" borderId="0" xfId="26" applyFont="1" applyAlignment="1" applyProtection="1">
      <alignment horizontal="left" vertical="top"/>
      <protection locked="0"/>
    </xf>
    <xf numFmtId="4" fontId="25" fillId="0" borderId="20" xfId="26" applyNumberFormat="1" applyFont="1" applyBorder="1" applyAlignment="1" applyProtection="1">
      <alignment horizontal="right"/>
      <protection locked="0"/>
    </xf>
    <xf numFmtId="0" fontId="35" fillId="0" borderId="0" xfId="26"/>
    <xf numFmtId="37" fontId="5" fillId="0" borderId="20" xfId="64" applyNumberFormat="1" applyFont="1" applyBorder="1" applyAlignment="1">
      <alignment horizontal="right"/>
      <protection locked="0"/>
    </xf>
    <xf numFmtId="0" fontId="8" fillId="0" borderId="0" xfId="64" applyAlignment="1">
      <alignment horizontal="left" vertical="top"/>
      <protection locked="0"/>
    </xf>
    <xf numFmtId="0" fontId="7" fillId="0" borderId="0" xfId="35"/>
    <xf numFmtId="0" fontId="35" fillId="5" borderId="0" xfId="26" applyFill="1" applyAlignment="1" applyProtection="1">
      <alignment horizontal="left" vertical="top"/>
      <protection locked="0"/>
    </xf>
    <xf numFmtId="0" fontId="34" fillId="0" borderId="18" xfId="26" applyFont="1" applyBorder="1" applyAlignment="1">
      <alignment horizontal="center" vertical="center" wrapText="1"/>
    </xf>
    <xf numFmtId="0" fontId="86" fillId="0" borderId="0" xfId="74" applyFill="1" applyAlignment="1" applyProtection="1"/>
    <xf numFmtId="37" fontId="23" fillId="5" borderId="0" xfId="26" applyNumberFormat="1" applyFont="1" applyFill="1" applyAlignment="1" applyProtection="1">
      <alignment horizontal="right"/>
      <protection locked="0"/>
    </xf>
    <xf numFmtId="0" fontId="23" fillId="5" borderId="0" xfId="26" applyFont="1" applyFill="1" applyAlignment="1" applyProtection="1">
      <alignment horizontal="left" wrapText="1"/>
      <protection locked="0"/>
    </xf>
    <xf numFmtId="165" fontId="23" fillId="5" borderId="0" xfId="26" applyNumberFormat="1" applyFont="1" applyFill="1" applyAlignment="1" applyProtection="1">
      <alignment horizontal="right"/>
      <protection locked="0"/>
    </xf>
    <xf numFmtId="39" fontId="23" fillId="5" borderId="0" xfId="26" applyNumberFormat="1" applyFont="1" applyFill="1" applyAlignment="1" applyProtection="1">
      <alignment horizontal="right"/>
      <protection locked="0"/>
    </xf>
    <xf numFmtId="37" fontId="23" fillId="5" borderId="24" xfId="26" applyNumberFormat="1" applyFont="1" applyFill="1" applyBorder="1" applyAlignment="1" applyProtection="1">
      <alignment horizontal="right"/>
      <protection locked="0"/>
    </xf>
    <xf numFmtId="0" fontId="23" fillId="5" borderId="24" xfId="26" applyFont="1" applyFill="1" applyBorder="1" applyAlignment="1" applyProtection="1">
      <alignment horizontal="left" wrapText="1"/>
      <protection locked="0"/>
    </xf>
    <xf numFmtId="166" fontId="23" fillId="5" borderId="24" xfId="26" applyNumberFormat="1" applyFont="1" applyFill="1" applyBorder="1" applyAlignment="1" applyProtection="1">
      <alignment horizontal="right"/>
      <protection locked="0"/>
    </xf>
    <xf numFmtId="39" fontId="23" fillId="0" borderId="24" xfId="26" applyNumberFormat="1" applyFont="1" applyBorder="1" applyAlignment="1" applyProtection="1">
      <alignment horizontal="right"/>
      <protection locked="0"/>
    </xf>
    <xf numFmtId="0" fontId="35" fillId="5" borderId="24" xfId="26" applyFill="1" applyBorder="1" applyAlignment="1" applyProtection="1">
      <alignment horizontal="left" vertical="top"/>
      <protection locked="0"/>
    </xf>
    <xf numFmtId="49" fontId="5" fillId="0" borderId="24" xfId="75" applyNumberFormat="1" applyFont="1" applyBorder="1" applyAlignment="1" applyProtection="1">
      <alignment horizontal="right" wrapText="1"/>
      <protection locked="0"/>
    </xf>
    <xf numFmtId="0" fontId="5" fillId="0" borderId="24" xfId="75" applyFont="1" applyBorder="1" applyAlignment="1" applyProtection="1">
      <alignment horizontal="left" wrapText="1"/>
      <protection locked="0"/>
    </xf>
    <xf numFmtId="4" fontId="5" fillId="0" borderId="24" xfId="75" applyNumberFormat="1" applyFont="1" applyBorder="1" applyAlignment="1" applyProtection="1">
      <alignment horizontal="right"/>
      <protection locked="0"/>
    </xf>
    <xf numFmtId="39" fontId="5" fillId="0" borderId="24" xfId="75" applyNumberFormat="1" applyFont="1" applyBorder="1" applyAlignment="1" applyProtection="1">
      <alignment horizontal="right"/>
      <protection locked="0"/>
    </xf>
    <xf numFmtId="0" fontId="35" fillId="0" borderId="0" xfId="75" applyAlignment="1" applyProtection="1">
      <alignment horizontal="left" vertical="top"/>
      <protection locked="0"/>
    </xf>
    <xf numFmtId="49" fontId="5" fillId="0" borderId="20" xfId="75" applyNumberFormat="1" applyFont="1" applyBorder="1" applyAlignment="1" applyProtection="1">
      <alignment horizontal="right" wrapText="1"/>
      <protection locked="0"/>
    </xf>
    <xf numFmtId="0" fontId="5" fillId="0" borderId="20" xfId="75" applyFont="1" applyBorder="1" applyAlignment="1" applyProtection="1">
      <alignment horizontal="left" wrapText="1"/>
      <protection locked="0"/>
    </xf>
    <xf numFmtId="4" fontId="25" fillId="0" borderId="20" xfId="75" applyNumberFormat="1" applyFont="1" applyBorder="1" applyAlignment="1" applyProtection="1">
      <alignment horizontal="right"/>
      <protection locked="0"/>
    </xf>
    <xf numFmtId="39" fontId="5" fillId="0" borderId="20" xfId="75" applyNumberFormat="1" applyFont="1" applyBorder="1" applyAlignment="1" applyProtection="1">
      <alignment horizontal="right"/>
      <protection locked="0"/>
    </xf>
    <xf numFmtId="39" fontId="5" fillId="0" borderId="0" xfId="75" applyNumberFormat="1" applyFont="1" applyAlignment="1" applyProtection="1">
      <alignment horizontal="center"/>
      <protection locked="0"/>
    </xf>
    <xf numFmtId="37" fontId="5" fillId="0" borderId="20" xfId="76" applyNumberFormat="1" applyFont="1" applyBorder="1" applyAlignment="1">
      <alignment horizontal="right"/>
      <protection locked="0"/>
    </xf>
    <xf numFmtId="0" fontId="5" fillId="0" borderId="20" xfId="76" applyFont="1" applyBorder="1" applyAlignment="1">
      <alignment horizontal="left" wrapText="1"/>
      <protection locked="0"/>
    </xf>
    <xf numFmtId="4" fontId="25" fillId="0" borderId="20" xfId="12" applyNumberFormat="1" applyFont="1" applyBorder="1" applyAlignment="1">
      <alignment horizontal="right"/>
      <protection locked="0"/>
    </xf>
    <xf numFmtId="39" fontId="5" fillId="0" borderId="20" xfId="76" applyNumberFormat="1" applyFont="1" applyBorder="1" applyAlignment="1">
      <alignment horizontal="right"/>
      <protection locked="0"/>
    </xf>
    <xf numFmtId="0" fontId="8" fillId="0" borderId="15" xfId="76" applyBorder="1" applyAlignment="1">
      <alignment horizontal="left" vertical="top"/>
      <protection locked="0"/>
    </xf>
    <xf numFmtId="0" fontId="8" fillId="0" borderId="0" xfId="76" applyAlignment="1">
      <alignment horizontal="left" vertical="top"/>
      <protection locked="0"/>
    </xf>
    <xf numFmtId="37" fontId="23" fillId="0" borderId="20" xfId="26" applyNumberFormat="1" applyFont="1" applyBorder="1" applyAlignment="1" applyProtection="1">
      <alignment horizontal="right"/>
      <protection locked="0"/>
    </xf>
    <xf numFmtId="0" fontId="23" fillId="0" borderId="20" xfId="26" applyFont="1" applyBorder="1" applyAlignment="1" applyProtection="1">
      <alignment horizontal="left" wrapText="1"/>
      <protection locked="0"/>
    </xf>
    <xf numFmtId="4" fontId="23" fillId="0" borderId="20" xfId="26" applyNumberFormat="1" applyFont="1" applyBorder="1" applyAlignment="1" applyProtection="1">
      <alignment horizontal="right"/>
      <protection locked="0"/>
    </xf>
    <xf numFmtId="39" fontId="23" fillId="0" borderId="20" xfId="26" applyNumberFormat="1" applyFont="1" applyBorder="1" applyAlignment="1" applyProtection="1">
      <alignment horizontal="right"/>
      <protection locked="0"/>
    </xf>
    <xf numFmtId="0" fontId="35" fillId="0" borderId="20" xfId="26" applyBorder="1" applyAlignment="1" applyProtection="1">
      <alignment vertical="top"/>
      <protection locked="0"/>
    </xf>
    <xf numFmtId="37" fontId="46" fillId="0" borderId="20" xfId="26" applyNumberFormat="1" applyFont="1" applyBorder="1" applyAlignment="1" applyProtection="1">
      <alignment horizontal="right"/>
      <protection locked="0"/>
    </xf>
    <xf numFmtId="49" fontId="46" fillId="0" borderId="20" xfId="26" applyNumberFormat="1" applyFont="1" applyBorder="1" applyAlignment="1" applyProtection="1">
      <alignment horizontal="left" wrapText="1"/>
      <protection locked="0"/>
    </xf>
    <xf numFmtId="0" fontId="46" fillId="0" borderId="20" xfId="26" applyFont="1" applyBorder="1" applyAlignment="1" applyProtection="1">
      <alignment horizontal="left" wrapText="1"/>
      <protection locked="0"/>
    </xf>
    <xf numFmtId="4" fontId="46" fillId="0" borderId="20" xfId="26" applyNumberFormat="1" applyFont="1" applyBorder="1" applyAlignment="1" applyProtection="1">
      <alignment horizontal="right"/>
      <protection locked="0"/>
    </xf>
    <xf numFmtId="169" fontId="46" fillId="0" borderId="20" xfId="26" applyNumberFormat="1" applyFont="1" applyBorder="1" applyAlignment="1" applyProtection="1">
      <alignment horizontal="right"/>
      <protection locked="0"/>
    </xf>
    <xf numFmtId="39" fontId="46" fillId="0" borderId="20" xfId="26" applyNumberFormat="1" applyFont="1" applyBorder="1" applyAlignment="1" applyProtection="1">
      <alignment horizontal="center"/>
      <protection locked="0"/>
    </xf>
    <xf numFmtId="0" fontId="90" fillId="0" borderId="0" xfId="26" applyFont="1" applyAlignment="1" applyProtection="1">
      <alignment vertical="top"/>
      <protection locked="0"/>
    </xf>
    <xf numFmtId="0" fontId="25" fillId="0" borderId="20" xfId="26" applyFont="1" applyBorder="1" applyAlignment="1">
      <alignment horizontal="left" wrapText="1"/>
    </xf>
    <xf numFmtId="39" fontId="5" fillId="0" borderId="20" xfId="76" applyNumberFormat="1" applyFont="1" applyBorder="1" applyAlignment="1">
      <alignment horizontal="center"/>
      <protection locked="0"/>
    </xf>
    <xf numFmtId="4" fontId="5" fillId="0" borderId="20" xfId="76" applyNumberFormat="1" applyFont="1" applyBorder="1" applyAlignment="1">
      <alignment horizontal="right"/>
      <protection locked="0"/>
    </xf>
    <xf numFmtId="4" fontId="5" fillId="0" borderId="20" xfId="76" applyNumberFormat="1" applyFont="1" applyBorder="1" applyAlignment="1">
      <alignment horizontal="right" wrapText="1"/>
      <protection locked="0"/>
    </xf>
    <xf numFmtId="2" fontId="25" fillId="0" borderId="20" xfId="26" applyNumberFormat="1" applyFont="1" applyBorder="1" applyAlignment="1" applyProtection="1">
      <alignment horizontal="right"/>
      <protection locked="0"/>
    </xf>
    <xf numFmtId="0" fontId="50" fillId="0" borderId="20" xfId="26" applyFont="1" applyBorder="1" applyAlignment="1" applyProtection="1">
      <alignment horizontal="right" vertical="center"/>
      <protection locked="0"/>
    </xf>
    <xf numFmtId="0" fontId="23" fillId="0" borderId="20" xfId="64" applyFont="1" applyBorder="1" applyAlignment="1">
      <alignment horizontal="left" wrapText="1"/>
      <protection locked="0"/>
    </xf>
    <xf numFmtId="1" fontId="5" fillId="0" borderId="20" xfId="26" applyNumberFormat="1" applyFont="1" applyBorder="1" applyAlignment="1" applyProtection="1">
      <alignment horizontal="right"/>
      <protection locked="0"/>
    </xf>
    <xf numFmtId="2" fontId="23" fillId="0" borderId="20" xfId="64" applyNumberFormat="1" applyFont="1" applyBorder="1" applyAlignment="1">
      <alignment horizontal="right"/>
      <protection locked="0"/>
    </xf>
    <xf numFmtId="4" fontId="23" fillId="0" borderId="20" xfId="64" applyNumberFormat="1" applyFont="1" applyBorder="1" applyAlignment="1">
      <alignment horizontal="right"/>
      <protection locked="0"/>
    </xf>
    <xf numFmtId="49" fontId="5" fillId="0" borderId="20" xfId="12" applyNumberFormat="1" applyFont="1" applyBorder="1" applyAlignment="1">
      <alignment horizontal="right" wrapText="1"/>
      <protection locked="0"/>
    </xf>
    <xf numFmtId="49" fontId="5" fillId="0" borderId="20" xfId="12" applyNumberFormat="1" applyFont="1" applyBorder="1" applyAlignment="1">
      <alignment horizontal="left" wrapText="1"/>
      <protection locked="0"/>
    </xf>
    <xf numFmtId="37" fontId="5" fillId="0" borderId="20" xfId="12" applyNumberFormat="1" applyFont="1" applyBorder="1" applyAlignment="1">
      <alignment horizontal="right"/>
      <protection locked="0"/>
    </xf>
    <xf numFmtId="1" fontId="25" fillId="0" borderId="20" xfId="26" applyNumberFormat="1" applyFont="1" applyBorder="1" applyAlignment="1">
      <alignment horizontal="right"/>
    </xf>
    <xf numFmtId="4" fontId="25" fillId="0" borderId="20" xfId="26" applyNumberFormat="1" applyFont="1" applyBorder="1" applyAlignment="1">
      <alignment horizontal="right"/>
    </xf>
    <xf numFmtId="0" fontId="35" fillId="0" borderId="20" xfId="26" applyBorder="1" applyAlignment="1">
      <alignment horizontal="left" vertical="top"/>
    </xf>
    <xf numFmtId="49" fontId="23" fillId="0" borderId="20" xfId="26" applyNumberFormat="1" applyFont="1" applyBorder="1" applyAlignment="1" applyProtection="1">
      <alignment horizontal="left" wrapText="1"/>
      <protection locked="0"/>
    </xf>
    <xf numFmtId="2" fontId="5" fillId="0" borderId="20" xfId="26" applyNumberFormat="1" applyFont="1" applyBorder="1" applyAlignment="1" applyProtection="1">
      <alignment horizontal="right"/>
      <protection locked="0"/>
    </xf>
    <xf numFmtId="39" fontId="5" fillId="0" borderId="20" xfId="12" applyNumberFormat="1" applyFont="1" applyBorder="1" applyAlignment="1">
      <alignment horizontal="center"/>
      <protection locked="0"/>
    </xf>
    <xf numFmtId="49" fontId="45" fillId="0" borderId="20" xfId="57" applyNumberFormat="1" applyFont="1" applyBorder="1" applyAlignment="1">
      <alignment horizontal="left" wrapText="1"/>
      <protection locked="0"/>
    </xf>
    <xf numFmtId="0" fontId="45" fillId="0" borderId="20" xfId="57" applyFont="1" applyBorder="1" applyAlignment="1">
      <alignment horizontal="left" wrapText="1"/>
      <protection locked="0"/>
    </xf>
    <xf numFmtId="0" fontId="25" fillId="0" borderId="20" xfId="57" applyFont="1" applyBorder="1" applyAlignment="1">
      <alignment horizontal="left" wrapText="1"/>
      <protection locked="0"/>
    </xf>
    <xf numFmtId="4" fontId="45" fillId="0" borderId="20" xfId="57" applyNumberFormat="1" applyFont="1" applyBorder="1" applyAlignment="1">
      <alignment horizontal="right"/>
      <protection locked="0"/>
    </xf>
    <xf numFmtId="37" fontId="5" fillId="0" borderId="20" xfId="75" applyNumberFormat="1" applyFont="1" applyBorder="1" applyAlignment="1" applyProtection="1">
      <alignment horizontal="right"/>
      <protection locked="0"/>
    </xf>
    <xf numFmtId="49" fontId="5" fillId="0" borderId="20" xfId="77" applyNumberFormat="1" applyFont="1" applyBorder="1" applyAlignment="1" applyProtection="1">
      <alignment horizontal="left" wrapText="1"/>
      <protection locked="0"/>
    </xf>
    <xf numFmtId="0" fontId="5" fillId="0" borderId="20" xfId="77" applyFont="1" applyBorder="1" applyAlignment="1" applyProtection="1">
      <alignment horizontal="left" wrapText="1"/>
      <protection locked="0"/>
    </xf>
    <xf numFmtId="4" fontId="5" fillId="0" borderId="20" xfId="75" applyNumberFormat="1" applyFont="1" applyBorder="1" applyAlignment="1" applyProtection="1">
      <alignment horizontal="right"/>
      <protection locked="0"/>
    </xf>
    <xf numFmtId="0" fontId="25" fillId="0" borderId="20" xfId="75" applyFont="1" applyBorder="1" applyAlignment="1" applyProtection="1">
      <alignment horizontal="left" wrapText="1"/>
      <protection locked="0"/>
    </xf>
    <xf numFmtId="0" fontId="35" fillId="0" borderId="0" xfId="75" applyAlignment="1" applyProtection="1">
      <alignment horizontal="left" vertical="center"/>
      <protection locked="0"/>
    </xf>
    <xf numFmtId="4" fontId="35" fillId="0" borderId="0" xfId="75" applyNumberFormat="1" applyAlignment="1" applyProtection="1">
      <alignment horizontal="left" vertical="center"/>
      <protection locked="0"/>
    </xf>
    <xf numFmtId="39" fontId="5" fillId="0" borderId="20" xfId="75" applyNumberFormat="1" applyFont="1" applyBorder="1" applyAlignment="1" applyProtection="1">
      <alignment horizontal="center"/>
      <protection locked="0"/>
    </xf>
    <xf numFmtId="0" fontId="45" fillId="0" borderId="20" xfId="75" applyFont="1" applyBorder="1" applyAlignment="1" applyProtection="1">
      <alignment horizontal="left" vertical="center" wrapText="1"/>
      <protection locked="0"/>
    </xf>
    <xf numFmtId="39" fontId="45" fillId="0" borderId="20" xfId="75" applyNumberFormat="1" applyFont="1" applyBorder="1" applyAlignment="1" applyProtection="1">
      <alignment horizontal="right" vertical="center"/>
      <protection locked="0"/>
    </xf>
    <xf numFmtId="2" fontId="23" fillId="0" borderId="20" xfId="26" applyNumberFormat="1" applyFont="1" applyBorder="1" applyAlignment="1" applyProtection="1">
      <alignment horizontal="right"/>
      <protection locked="0"/>
    </xf>
    <xf numFmtId="37" fontId="94" fillId="0" borderId="20" xfId="26" applyNumberFormat="1" applyFont="1" applyBorder="1" applyAlignment="1" applyProtection="1">
      <alignment horizontal="right"/>
      <protection locked="0"/>
    </xf>
    <xf numFmtId="0" fontId="94" fillId="0" borderId="20" xfId="26" applyFont="1" applyBorder="1" applyAlignment="1" applyProtection="1">
      <alignment horizontal="left" wrapText="1"/>
      <protection locked="0"/>
    </xf>
    <xf numFmtId="2" fontId="94" fillId="0" borderId="20" xfId="26" applyNumberFormat="1" applyFont="1" applyBorder="1" applyAlignment="1" applyProtection="1">
      <alignment horizontal="right"/>
      <protection locked="0"/>
    </xf>
    <xf numFmtId="0" fontId="46" fillId="0" borderId="20" xfId="26" applyFont="1" applyBorder="1" applyAlignment="1" applyProtection="1">
      <alignment horizontal="left" vertical="center" wrapText="1"/>
      <protection locked="0"/>
    </xf>
    <xf numFmtId="39" fontId="5" fillId="0" borderId="20" xfId="35" applyNumberFormat="1" applyFont="1" applyBorder="1" applyAlignment="1" applyProtection="1">
      <alignment horizontal="center"/>
      <protection locked="0"/>
    </xf>
    <xf numFmtId="1" fontId="45" fillId="0" borderId="20" xfId="26" applyNumberFormat="1" applyFont="1" applyBorder="1" applyAlignment="1" applyProtection="1">
      <alignment horizontal="right"/>
      <protection locked="0"/>
    </xf>
    <xf numFmtId="37" fontId="23" fillId="0" borderId="20" xfId="75" applyNumberFormat="1" applyFont="1" applyBorder="1" applyAlignment="1" applyProtection="1">
      <alignment horizontal="right"/>
      <protection locked="0"/>
    </xf>
    <xf numFmtId="0" fontId="23" fillId="0" borderId="20" xfId="75" applyFont="1" applyBorder="1" applyAlignment="1" applyProtection="1">
      <alignment horizontal="left" wrapText="1"/>
      <protection locked="0"/>
    </xf>
    <xf numFmtId="4" fontId="23" fillId="0" borderId="20" xfId="75" applyNumberFormat="1" applyFont="1" applyBorder="1" applyAlignment="1" applyProtection="1">
      <alignment horizontal="right"/>
      <protection locked="0"/>
    </xf>
    <xf numFmtId="39" fontId="23" fillId="0" borderId="20" xfId="75" applyNumberFormat="1" applyFont="1" applyBorder="1" applyAlignment="1" applyProtection="1">
      <alignment horizontal="right"/>
      <protection locked="0"/>
    </xf>
    <xf numFmtId="0" fontId="35" fillId="0" borderId="20" xfId="75" applyBorder="1" applyAlignment="1" applyProtection="1">
      <alignment horizontal="left" vertical="top"/>
      <protection locked="0"/>
    </xf>
    <xf numFmtId="49" fontId="5" fillId="0" borderId="20" xfId="35" applyNumberFormat="1" applyFont="1" applyBorder="1" applyAlignment="1" applyProtection="1">
      <alignment horizontal="right" wrapText="1"/>
      <protection locked="0"/>
    </xf>
    <xf numFmtId="49" fontId="5" fillId="0" borderId="20" xfId="35" applyNumberFormat="1" applyFont="1" applyBorder="1" applyAlignment="1" applyProtection="1">
      <alignment horizontal="left" wrapText="1"/>
      <protection locked="0"/>
    </xf>
    <xf numFmtId="4" fontId="5" fillId="0" borderId="20" xfId="35" applyNumberFormat="1" applyFont="1" applyBorder="1" applyAlignment="1" applyProtection="1">
      <alignment horizontal="right"/>
      <protection locked="0"/>
    </xf>
    <xf numFmtId="169" fontId="5" fillId="0" borderId="20" xfId="35" applyNumberFormat="1" applyFont="1" applyBorder="1" applyAlignment="1" applyProtection="1">
      <alignment horizontal="right"/>
      <protection locked="0"/>
    </xf>
    <xf numFmtId="4" fontId="25" fillId="0" borderId="20" xfId="35" applyNumberFormat="1" applyFont="1" applyBorder="1" applyAlignment="1" applyProtection="1">
      <alignment horizontal="right"/>
      <protection locked="0"/>
    </xf>
    <xf numFmtId="37" fontId="23" fillId="0" borderId="20" xfId="35" applyNumberFormat="1" applyFont="1" applyBorder="1" applyAlignment="1" applyProtection="1">
      <alignment horizontal="right"/>
      <protection locked="0"/>
    </xf>
    <xf numFmtId="0" fontId="23" fillId="0" borderId="20" xfId="35" applyFont="1" applyBorder="1" applyAlignment="1" applyProtection="1">
      <alignment horizontal="left" wrapText="1"/>
      <protection locked="0"/>
    </xf>
    <xf numFmtId="4" fontId="23" fillId="0" borderId="20" xfId="35" applyNumberFormat="1" applyFont="1" applyBorder="1" applyAlignment="1" applyProtection="1">
      <alignment horizontal="right"/>
      <protection locked="0"/>
    </xf>
    <xf numFmtId="39" fontId="23" fillId="0" borderId="20" xfId="35" applyNumberFormat="1" applyFont="1" applyBorder="1" applyAlignment="1" applyProtection="1">
      <alignment horizontal="right"/>
      <protection locked="0"/>
    </xf>
    <xf numFmtId="0" fontId="7" fillId="0" borderId="20" xfId="35" applyBorder="1" applyAlignment="1" applyProtection="1">
      <alignment horizontal="left" vertical="top"/>
      <protection locked="0"/>
    </xf>
    <xf numFmtId="37" fontId="5" fillId="0" borderId="20" xfId="35" applyNumberFormat="1" applyFont="1" applyBorder="1" applyAlignment="1" applyProtection="1">
      <alignment horizontal="right"/>
      <protection locked="0"/>
    </xf>
    <xf numFmtId="2" fontId="5" fillId="0" borderId="20" xfId="35" applyNumberFormat="1" applyFont="1" applyBorder="1" applyAlignment="1" applyProtection="1">
      <alignment horizontal="right"/>
      <protection locked="0"/>
    </xf>
    <xf numFmtId="39" fontId="5" fillId="0" borderId="20" xfId="35" applyNumberFormat="1" applyFont="1" applyBorder="1" applyAlignment="1" applyProtection="1">
      <alignment horizontal="right"/>
      <protection locked="0"/>
    </xf>
    <xf numFmtId="0" fontId="7" fillId="0" borderId="0" xfId="35" applyAlignment="1" applyProtection="1">
      <alignment vertical="top"/>
      <protection locked="0"/>
    </xf>
    <xf numFmtId="37" fontId="45" fillId="0" borderId="20" xfId="35" applyNumberFormat="1" applyFont="1" applyBorder="1" applyAlignment="1" applyProtection="1">
      <alignment horizontal="right"/>
      <protection locked="0"/>
    </xf>
    <xf numFmtId="0" fontId="45" fillId="0" borderId="20" xfId="35" applyFont="1" applyBorder="1" applyAlignment="1" applyProtection="1">
      <alignment horizontal="left" wrapText="1"/>
      <protection locked="0"/>
    </xf>
    <xf numFmtId="2" fontId="25" fillId="0" borderId="20" xfId="35" applyNumberFormat="1" applyFont="1" applyBorder="1" applyAlignment="1" applyProtection="1">
      <alignment horizontal="right"/>
      <protection locked="0"/>
    </xf>
    <xf numFmtId="39" fontId="45" fillId="0" borderId="20" xfId="35" applyNumberFormat="1" applyFont="1" applyBorder="1" applyAlignment="1" applyProtection="1">
      <alignment horizontal="right"/>
      <protection locked="0"/>
    </xf>
    <xf numFmtId="0" fontId="8" fillId="0" borderId="0" xfId="35" applyFont="1" applyAlignment="1" applyProtection="1">
      <alignment horizontal="left" vertical="top"/>
      <protection locked="0"/>
    </xf>
    <xf numFmtId="37" fontId="46" fillId="0" borderId="20" xfId="35" applyNumberFormat="1" applyFont="1" applyBorder="1" applyAlignment="1" applyProtection="1">
      <alignment horizontal="right"/>
      <protection locked="0"/>
    </xf>
    <xf numFmtId="39" fontId="25" fillId="0" borderId="20" xfId="35" applyNumberFormat="1" applyFont="1" applyBorder="1" applyAlignment="1" applyProtection="1">
      <alignment horizontal="right"/>
      <protection locked="0"/>
    </xf>
    <xf numFmtId="0" fontId="7" fillId="0" borderId="20" xfId="35" applyBorder="1" applyAlignment="1" applyProtection="1">
      <alignment horizontal="center" vertical="top"/>
      <protection locked="0"/>
    </xf>
    <xf numFmtId="0" fontId="45" fillId="0" borderId="20" xfId="35" applyFont="1" applyBorder="1" applyAlignment="1" applyProtection="1">
      <alignment horizontal="left" vertical="center" wrapText="1"/>
      <protection locked="0"/>
    </xf>
    <xf numFmtId="0" fontId="7" fillId="0" borderId="0" xfId="35" applyAlignment="1" applyProtection="1">
      <alignment horizontal="left" vertical="center"/>
      <protection locked="0"/>
    </xf>
    <xf numFmtId="39" fontId="45" fillId="0" borderId="20" xfId="35" applyNumberFormat="1" applyFont="1" applyBorder="1" applyAlignment="1" applyProtection="1">
      <alignment horizontal="right" vertical="center"/>
      <protection locked="0"/>
    </xf>
    <xf numFmtId="1" fontId="23" fillId="0" borderId="20" xfId="26" applyNumberFormat="1" applyFont="1" applyBorder="1" applyAlignment="1" applyProtection="1">
      <alignment horizontal="right"/>
      <protection locked="0"/>
    </xf>
    <xf numFmtId="169" fontId="23" fillId="0" borderId="20" xfId="26" applyNumberFormat="1" applyFont="1" applyBorder="1" applyAlignment="1" applyProtection="1">
      <alignment horizontal="right"/>
      <protection locked="0"/>
    </xf>
    <xf numFmtId="1" fontId="25" fillId="0" borderId="20" xfId="35" applyNumberFormat="1" applyFont="1" applyBorder="1" applyAlignment="1">
      <alignment horizontal="right"/>
    </xf>
    <xf numFmtId="0" fontId="25" fillId="0" borderId="20" xfId="35" applyFont="1" applyBorder="1" applyAlignment="1">
      <alignment horizontal="left" wrapText="1"/>
    </xf>
    <xf numFmtId="4" fontId="25" fillId="0" borderId="20" xfId="35" applyNumberFormat="1" applyFont="1" applyBorder="1" applyAlignment="1">
      <alignment horizontal="right"/>
    </xf>
    <xf numFmtId="0" fontId="53" fillId="0" borderId="0" xfId="35" applyFont="1" applyAlignment="1" applyProtection="1">
      <alignment horizontal="left" vertical="top"/>
      <protection locked="0"/>
    </xf>
    <xf numFmtId="0" fontId="7" fillId="0" borderId="20" xfId="35" applyBorder="1" applyAlignment="1">
      <alignment horizontal="left" vertical="top"/>
    </xf>
    <xf numFmtId="1" fontId="5" fillId="0" borderId="20" xfId="35" applyNumberFormat="1" applyFont="1" applyBorder="1" applyAlignment="1" applyProtection="1">
      <alignment horizontal="right"/>
      <protection locked="0"/>
    </xf>
    <xf numFmtId="4" fontId="5" fillId="0" borderId="20" xfId="57" applyNumberFormat="1" applyFont="1" applyBorder="1" applyAlignment="1">
      <alignment horizontal="right"/>
      <protection locked="0"/>
    </xf>
    <xf numFmtId="1" fontId="45" fillId="0" borderId="20" xfId="35" applyNumberFormat="1" applyFont="1" applyBorder="1" applyAlignment="1" applyProtection="1">
      <alignment horizontal="right"/>
      <protection locked="0"/>
    </xf>
    <xf numFmtId="4" fontId="45" fillId="0" borderId="20" xfId="35" applyNumberFormat="1" applyFont="1" applyBorder="1" applyAlignment="1" applyProtection="1">
      <alignment horizontal="right"/>
      <protection locked="0"/>
    </xf>
    <xf numFmtId="37" fontId="5" fillId="0" borderId="20" xfId="57" applyNumberFormat="1" applyFont="1" applyBorder="1" applyAlignment="1">
      <alignment horizontal="right"/>
      <protection locked="0"/>
    </xf>
    <xf numFmtId="49" fontId="5" fillId="0" borderId="20" xfId="57" applyNumberFormat="1" applyFont="1" applyBorder="1" applyAlignment="1">
      <alignment horizontal="left" wrapText="1"/>
      <protection locked="0"/>
    </xf>
    <xf numFmtId="0" fontId="5" fillId="0" borderId="20" xfId="57" applyFont="1" applyBorder="1" applyAlignment="1">
      <alignment horizontal="left" wrapText="1"/>
      <protection locked="0"/>
    </xf>
    <xf numFmtId="39" fontId="5" fillId="0" borderId="20" xfId="57" applyNumberFormat="1" applyFont="1" applyBorder="1" applyAlignment="1">
      <alignment horizontal="right"/>
      <protection locked="0"/>
    </xf>
    <xf numFmtId="0" fontId="35" fillId="0" borderId="0" xfId="57" applyFont="1" applyAlignment="1">
      <alignment horizontal="left" vertical="top"/>
      <protection locked="0"/>
    </xf>
    <xf numFmtId="37" fontId="23" fillId="0" borderId="20" xfId="57" applyNumberFormat="1" applyFont="1" applyBorder="1" applyAlignment="1">
      <alignment horizontal="right"/>
      <protection locked="0"/>
    </xf>
    <xf numFmtId="0" fontId="23" fillId="0" borderId="20" xfId="57" applyFont="1" applyBorder="1" applyAlignment="1">
      <alignment horizontal="left" wrapText="1"/>
      <protection locked="0"/>
    </xf>
    <xf numFmtId="4" fontId="25" fillId="0" borderId="20" xfId="57" applyNumberFormat="1" applyFont="1" applyBorder="1" applyAlignment="1">
      <alignment horizontal="right"/>
      <protection locked="0"/>
    </xf>
    <xf numFmtId="39" fontId="23" fillId="0" borderId="20" xfId="57" applyNumberFormat="1" applyFont="1" applyBorder="1" applyAlignment="1">
      <alignment horizontal="right"/>
      <protection locked="0"/>
    </xf>
    <xf numFmtId="0" fontId="50" fillId="0" borderId="20" xfId="57" applyFont="1" applyBorder="1" applyAlignment="1">
      <alignment horizontal="right" vertical="center"/>
      <protection locked="0"/>
    </xf>
    <xf numFmtId="0" fontId="38" fillId="0" borderId="0" xfId="78" applyFont="1" applyFill="1" applyAlignment="1" applyProtection="1">
      <alignment horizontal="left" vertical="center"/>
      <protection locked="0"/>
    </xf>
    <xf numFmtId="0" fontId="46" fillId="0" borderId="20" xfId="57" applyFont="1" applyBorder="1" applyAlignment="1">
      <alignment horizontal="left" wrapText="1"/>
      <protection locked="0"/>
    </xf>
    <xf numFmtId="39" fontId="5" fillId="0" borderId="20" xfId="31" applyNumberFormat="1" applyFont="1" applyBorder="1" applyAlignment="1">
      <alignment horizontal="center"/>
    </xf>
    <xf numFmtId="0" fontId="36" fillId="0" borderId="0" xfId="78" applyFill="1" applyAlignment="1" applyProtection="1">
      <alignment horizontal="left" vertical="top"/>
      <protection locked="0"/>
    </xf>
    <xf numFmtId="169" fontId="35" fillId="0" borderId="20" xfId="26" applyNumberFormat="1" applyBorder="1" applyAlignment="1">
      <alignment horizontal="left" vertical="top"/>
    </xf>
    <xf numFmtId="4" fontId="5" fillId="0" borderId="20" xfId="8" applyNumberFormat="1" applyFont="1" applyBorder="1" applyAlignment="1" applyProtection="1">
      <alignment horizontal="right"/>
      <protection locked="0"/>
    </xf>
    <xf numFmtId="1" fontId="5" fillId="0" borderId="20" xfId="77" applyNumberFormat="1" applyFont="1" applyBorder="1" applyAlignment="1" applyProtection="1">
      <alignment horizontal="right"/>
      <protection locked="0"/>
    </xf>
    <xf numFmtId="4" fontId="5" fillId="0" borderId="20" xfId="77" applyNumberFormat="1" applyFont="1" applyBorder="1" applyAlignment="1" applyProtection="1">
      <alignment horizontal="right"/>
      <protection locked="0"/>
    </xf>
    <xf numFmtId="0" fontId="35" fillId="0" borderId="20" xfId="77" applyBorder="1" applyAlignment="1" applyProtection="1">
      <alignment horizontal="left" vertical="top"/>
      <protection locked="0"/>
    </xf>
    <xf numFmtId="0" fontId="35" fillId="0" borderId="0" xfId="77" applyAlignment="1" applyProtection="1">
      <alignment horizontal="left" vertical="top"/>
      <protection locked="0"/>
    </xf>
    <xf numFmtId="37" fontId="64" fillId="0" borderId="0" xfId="26" applyNumberFormat="1" applyFont="1" applyAlignment="1" applyProtection="1">
      <alignment horizontal="right"/>
      <protection locked="0"/>
    </xf>
    <xf numFmtId="0" fontId="64" fillId="0" borderId="0" xfId="26" applyFont="1" applyAlignment="1" applyProtection="1">
      <alignment horizontal="left" wrapText="1"/>
      <protection locked="0"/>
    </xf>
    <xf numFmtId="165" fontId="64" fillId="0" borderId="0" xfId="26" applyNumberFormat="1" applyFont="1" applyAlignment="1" applyProtection="1">
      <alignment horizontal="right"/>
      <protection locked="0"/>
    </xf>
    <xf numFmtId="39" fontId="64" fillId="0" borderId="0" xfId="26" applyNumberFormat="1" applyFont="1" applyAlignment="1" applyProtection="1">
      <alignment horizontal="right"/>
      <protection locked="0"/>
    </xf>
    <xf numFmtId="37" fontId="35" fillId="0" borderId="0" xfId="26" applyNumberFormat="1" applyAlignment="1" applyProtection="1">
      <alignment horizontal="right" vertical="top"/>
      <protection locked="0"/>
    </xf>
    <xf numFmtId="0" fontId="35" fillId="0" borderId="0" xfId="26" applyAlignment="1" applyProtection="1">
      <alignment horizontal="left" vertical="top" wrapText="1"/>
      <protection locked="0"/>
    </xf>
    <xf numFmtId="165" fontId="35" fillId="0" borderId="0" xfId="26" applyNumberFormat="1" applyAlignment="1" applyProtection="1">
      <alignment horizontal="right" vertical="top"/>
      <protection locked="0"/>
    </xf>
    <xf numFmtId="39" fontId="35" fillId="0" borderId="0" xfId="26" applyNumberFormat="1" applyAlignment="1" applyProtection="1">
      <alignment horizontal="right" vertical="top"/>
      <protection locked="0"/>
    </xf>
    <xf numFmtId="0" fontId="23" fillId="0" borderId="19" xfId="26" applyFont="1" applyBorder="1" applyAlignment="1" applyProtection="1">
      <alignment horizontal="left"/>
      <protection locked="0"/>
    </xf>
    <xf numFmtId="0" fontId="45" fillId="0" borderId="21" xfId="26" applyFont="1" applyBorder="1" applyAlignment="1" applyProtection="1">
      <alignment horizontal="center"/>
      <protection locked="0"/>
    </xf>
    <xf numFmtId="165" fontId="45" fillId="0" borderId="21" xfId="26" applyNumberFormat="1" applyFont="1" applyBorder="1" applyAlignment="1" applyProtection="1">
      <alignment horizontal="right"/>
      <protection locked="0"/>
    </xf>
    <xf numFmtId="39" fontId="45" fillId="0" borderId="21" xfId="26" applyNumberFormat="1" applyFont="1" applyBorder="1" applyAlignment="1" applyProtection="1">
      <alignment horizontal="right"/>
      <protection locked="0"/>
    </xf>
    <xf numFmtId="169" fontId="35" fillId="0" borderId="0" xfId="26" applyNumberFormat="1" applyAlignment="1" applyProtection="1">
      <alignment horizontal="left" vertical="top"/>
      <protection locked="0"/>
    </xf>
    <xf numFmtId="0" fontId="35" fillId="0" borderId="0" xfId="77" applyAlignment="1" applyProtection="1">
      <alignment vertical="top"/>
      <protection locked="0"/>
    </xf>
    <xf numFmtId="0" fontId="25" fillId="0" borderId="20" xfId="77" applyFont="1" applyBorder="1" applyAlignment="1" applyProtection="1">
      <alignment horizontal="left" wrapText="1"/>
      <protection locked="0"/>
    </xf>
    <xf numFmtId="37" fontId="5" fillId="0" borderId="20" xfId="77" applyNumberFormat="1" applyFont="1" applyBorder="1" applyAlignment="1" applyProtection="1">
      <alignment horizontal="right"/>
      <protection locked="0"/>
    </xf>
    <xf numFmtId="4" fontId="25" fillId="0" borderId="20" xfId="77" applyNumberFormat="1" applyFont="1" applyBorder="1" applyAlignment="1" applyProtection="1">
      <alignment horizontal="right"/>
      <protection locked="0"/>
    </xf>
    <xf numFmtId="39" fontId="5" fillId="0" borderId="20" xfId="77" applyNumberFormat="1" applyFont="1" applyBorder="1" applyAlignment="1" applyProtection="1">
      <alignment horizontal="right"/>
      <protection locked="0"/>
    </xf>
    <xf numFmtId="0" fontId="45" fillId="0" borderId="20" xfId="77" applyFont="1" applyBorder="1" applyAlignment="1" applyProtection="1">
      <alignment horizontal="left" wrapText="1"/>
      <protection locked="0"/>
    </xf>
    <xf numFmtId="2" fontId="25" fillId="0" borderId="20" xfId="77" applyNumberFormat="1" applyFont="1" applyBorder="1" applyAlignment="1" applyProtection="1">
      <alignment horizontal="right"/>
      <protection locked="0"/>
    </xf>
    <xf numFmtId="49" fontId="45" fillId="0" borderId="20" xfId="77" applyNumberFormat="1" applyFont="1" applyBorder="1" applyAlignment="1" applyProtection="1">
      <alignment horizontal="left" wrapText="1"/>
      <protection locked="0"/>
    </xf>
    <xf numFmtId="2" fontId="25" fillId="0" borderId="20" xfId="77" applyNumberFormat="1" applyFont="1" applyBorder="1" applyAlignment="1" applyProtection="1">
      <alignment horizontal="right" wrapText="1"/>
      <protection locked="0"/>
    </xf>
    <xf numFmtId="0" fontId="46" fillId="0" borderId="20" xfId="77" applyFont="1" applyBorder="1" applyAlignment="1" applyProtection="1">
      <alignment horizontal="left" wrapText="1"/>
      <protection locked="0"/>
    </xf>
    <xf numFmtId="2" fontId="5" fillId="0" borderId="20" xfId="77" applyNumberFormat="1" applyFont="1" applyBorder="1" applyAlignment="1" applyProtection="1">
      <alignment horizontal="right"/>
      <protection locked="0"/>
    </xf>
    <xf numFmtId="2" fontId="25" fillId="0" borderId="20" xfId="31" applyNumberFormat="1" applyFont="1" applyBorder="1" applyAlignment="1" applyProtection="1">
      <alignment horizontal="right" wrapText="1"/>
      <protection locked="0"/>
    </xf>
    <xf numFmtId="1" fontId="45" fillId="0" borderId="20" xfId="77" applyNumberFormat="1" applyFont="1" applyBorder="1" applyAlignment="1" applyProtection="1">
      <alignment horizontal="right"/>
      <protection locked="0"/>
    </xf>
    <xf numFmtId="1" fontId="5" fillId="0" borderId="20" xfId="57" applyNumberFormat="1" applyFont="1" applyBorder="1" applyAlignment="1">
      <alignment horizontal="right"/>
      <protection locked="0"/>
    </xf>
    <xf numFmtId="2" fontId="25" fillId="0" borderId="20" xfId="26" applyNumberFormat="1" applyFont="1" applyBorder="1" applyAlignment="1" applyProtection="1">
      <alignment horizontal="right" wrapText="1"/>
      <protection locked="0"/>
    </xf>
    <xf numFmtId="0" fontId="9" fillId="0" borderId="0" xfId="86" applyAlignment="1" applyProtection="1">
      <alignment horizontal="left" vertical="top" wrapText="1"/>
    </xf>
    <xf numFmtId="4" fontId="9" fillId="0" borderId="0" xfId="86" applyNumberFormat="1" applyAlignment="1" applyProtection="1">
      <alignment horizontal="right" vertical="center" wrapText="1"/>
    </xf>
    <xf numFmtId="0" fontId="9" fillId="0" borderId="0" xfId="86" applyAlignment="1" applyProtection="1">
      <alignment horizontal="center" vertical="top" wrapText="1"/>
    </xf>
    <xf numFmtId="0" fontId="85" fillId="0" borderId="0" xfId="86" applyFont="1" applyAlignment="1" applyProtection="1">
      <alignment horizontal="left" vertical="center" wrapText="1"/>
    </xf>
    <xf numFmtId="4" fontId="85" fillId="0" borderId="0" xfId="86" applyNumberFormat="1" applyFont="1" applyAlignment="1" applyProtection="1">
      <alignment horizontal="right" vertical="center" wrapText="1"/>
    </xf>
    <xf numFmtId="165" fontId="85" fillId="0" borderId="0" xfId="86" applyNumberFormat="1" applyFont="1" applyAlignment="1" applyProtection="1">
      <alignment horizontal="right" vertical="center" wrapText="1"/>
    </xf>
    <xf numFmtId="39" fontId="85" fillId="0" borderId="0" xfId="86" applyNumberFormat="1" applyFont="1" applyAlignment="1" applyProtection="1">
      <alignment horizontal="right" vertical="center" wrapText="1"/>
    </xf>
    <xf numFmtId="0" fontId="85" fillId="0" borderId="0" xfId="86" applyFont="1" applyAlignment="1" applyProtection="1">
      <alignment horizontal="center" vertical="center" wrapText="1"/>
    </xf>
    <xf numFmtId="0" fontId="6" fillId="0" borderId="0" xfId="86" applyFont="1" applyAlignment="1" applyProtection="1">
      <alignment horizontal="left" vertical="center" wrapText="1"/>
    </xf>
    <xf numFmtId="37" fontId="6" fillId="0" borderId="0" xfId="86" applyNumberFormat="1" applyFont="1" applyAlignment="1" applyProtection="1">
      <alignment horizontal="right" vertical="center" wrapText="1"/>
    </xf>
    <xf numFmtId="172" fontId="6" fillId="0" borderId="0" xfId="86" applyNumberFormat="1" applyFont="1" applyAlignment="1" applyProtection="1">
      <alignment horizontal="right" vertical="center" wrapText="1"/>
    </xf>
    <xf numFmtId="4" fontId="6" fillId="0" borderId="0" xfId="86" applyNumberFormat="1" applyFont="1" applyAlignment="1" applyProtection="1">
      <alignment horizontal="right" vertical="center" wrapText="1"/>
    </xf>
    <xf numFmtId="173" fontId="6" fillId="0" borderId="0" xfId="86" applyNumberFormat="1" applyFont="1" applyAlignment="1" applyProtection="1">
      <alignment horizontal="right" vertical="center" wrapText="1"/>
    </xf>
    <xf numFmtId="165" fontId="6" fillId="0" borderId="0" xfId="86" applyNumberFormat="1" applyFont="1" applyAlignment="1" applyProtection="1">
      <alignment horizontal="right" vertical="center" wrapText="1"/>
    </xf>
    <xf numFmtId="39" fontId="6" fillId="0" borderId="0" xfId="86" applyNumberFormat="1" applyFont="1" applyAlignment="1" applyProtection="1">
      <alignment horizontal="right" vertical="center" wrapText="1"/>
    </xf>
    <xf numFmtId="0" fontId="6" fillId="0" borderId="0" xfId="86" applyFont="1" applyAlignment="1" applyProtection="1">
      <alignment horizontal="center" vertical="center" wrapText="1"/>
    </xf>
    <xf numFmtId="0" fontId="6" fillId="0" borderId="0" xfId="86" applyFont="1" applyAlignment="1" applyProtection="1">
      <alignment horizontal="left" vertical="center"/>
    </xf>
    <xf numFmtId="0" fontId="22" fillId="0" borderId="0" xfId="86" applyFont="1" applyAlignment="1" applyProtection="1">
      <alignment horizontal="left" vertical="center"/>
    </xf>
    <xf numFmtId="0" fontId="24" fillId="0" borderId="0" xfId="86" applyFont="1" applyAlignment="1" applyProtection="1">
      <alignment horizontal="left" vertical="center"/>
    </xf>
    <xf numFmtId="0" fontId="14" fillId="0" borderId="0" xfId="86" applyFont="1" applyAlignment="1" applyProtection="1">
      <alignment horizontal="right" vertical="center"/>
    </xf>
    <xf numFmtId="0" fontId="22" fillId="0" borderId="0" xfId="86" applyFont="1" applyAlignment="1" applyProtection="1">
      <alignment horizontal="right" vertical="center"/>
    </xf>
    <xf numFmtId="165" fontId="16" fillId="0" borderId="0" xfId="86" applyNumberFormat="1" applyFont="1" applyAlignment="1" applyProtection="1">
      <alignment horizontal="left" vertical="center"/>
    </xf>
    <xf numFmtId="0" fontId="22" fillId="0" borderId="0" xfId="86" applyFont="1" applyAlignment="1" applyProtection="1">
      <alignment horizontal="left" vertical="center" wrapText="1"/>
    </xf>
    <xf numFmtId="173" fontId="79" fillId="0" borderId="0" xfId="86" applyNumberFormat="1" applyFont="1" applyAlignment="1" applyProtection="1">
      <alignment horizontal="right" vertical="center"/>
    </xf>
    <xf numFmtId="173" fontId="79" fillId="0" borderId="0" xfId="86" applyNumberFormat="1" applyFont="1" applyAlignment="1" applyProtection="1">
      <alignment horizontal="right" vertical="center" wrapText="1"/>
    </xf>
    <xf numFmtId="39" fontId="6" fillId="0" borderId="0" xfId="86" applyNumberFormat="1" applyFont="1" applyAlignment="1" applyProtection="1">
      <alignment horizontal="right" vertical="center"/>
    </xf>
    <xf numFmtId="39" fontId="6" fillId="0" borderId="0" xfId="86" applyNumberFormat="1" applyFont="1" applyAlignment="1" applyProtection="1">
      <alignment horizontal="left" vertical="center"/>
    </xf>
    <xf numFmtId="0" fontId="6" fillId="0" borderId="0" xfId="86" applyFont="1" applyAlignment="1" applyProtection="1">
      <alignment horizontal="center" vertical="center"/>
    </xf>
    <xf numFmtId="0" fontId="99" fillId="0" borderId="0" xfId="86" applyFont="1" applyAlignment="1" applyProtection="1">
      <alignment horizontal="left" vertical="center" wrapText="1"/>
    </xf>
    <xf numFmtId="37" fontId="99" fillId="0" borderId="0" xfId="86" applyNumberFormat="1" applyFont="1" applyAlignment="1" applyProtection="1">
      <alignment horizontal="right" vertical="center" wrapText="1"/>
    </xf>
    <xf numFmtId="172" fontId="99" fillId="0" borderId="0" xfId="86" applyNumberFormat="1" applyFont="1" applyAlignment="1" applyProtection="1">
      <alignment horizontal="right" vertical="center" wrapText="1"/>
    </xf>
    <xf numFmtId="165" fontId="99" fillId="0" borderId="0" xfId="86" applyNumberFormat="1" applyFont="1" applyAlignment="1" applyProtection="1">
      <alignment horizontal="right" vertical="center" wrapText="1"/>
    </xf>
    <xf numFmtId="173" fontId="99" fillId="0" borderId="0" xfId="86" applyNumberFormat="1" applyFont="1" applyAlignment="1" applyProtection="1">
      <alignment horizontal="right" vertical="center" wrapText="1"/>
    </xf>
    <xf numFmtId="165" fontId="26" fillId="0" borderId="0" xfId="86" applyNumberFormat="1" applyFont="1" applyAlignment="1" applyProtection="1">
      <alignment horizontal="left" vertical="center"/>
    </xf>
    <xf numFmtId="4" fontId="100" fillId="0" borderId="23" xfId="86" applyNumberFormat="1" applyFont="1" applyBorder="1" applyAlignment="1" applyProtection="1">
      <alignment horizontal="right" vertical="center" wrapText="1"/>
    </xf>
    <xf numFmtId="39" fontId="101" fillId="0" borderId="23" xfId="86" applyNumberFormat="1" applyFont="1" applyBorder="1" applyAlignment="1" applyProtection="1">
      <alignment horizontal="right" vertical="center" wrapText="1"/>
    </xf>
    <xf numFmtId="169" fontId="100" fillId="0" borderId="23" xfId="86" applyNumberFormat="1" applyFont="1" applyBorder="1" applyAlignment="1" applyProtection="1">
      <alignment horizontal="right" vertical="center" wrapText="1"/>
    </xf>
    <xf numFmtId="0" fontId="102" fillId="0" borderId="23" xfId="86" applyFont="1" applyBorder="1" applyAlignment="1" applyProtection="1">
      <alignment horizontal="center" vertical="center" wrapText="1"/>
    </xf>
    <xf numFmtId="0" fontId="100" fillId="0" borderId="23" xfId="86" applyFont="1" applyBorder="1" applyAlignment="1" applyProtection="1">
      <alignment horizontal="left" vertical="center" wrapText="1"/>
    </xf>
    <xf numFmtId="0" fontId="78" fillId="0" borderId="23" xfId="86" applyFont="1" applyBorder="1" applyAlignment="1" applyProtection="1">
      <alignment horizontal="center" vertical="center" wrapText="1"/>
    </xf>
    <xf numFmtId="4" fontId="103" fillId="0" borderId="0" xfId="86" applyNumberFormat="1" applyFont="1" applyAlignment="1" applyProtection="1">
      <alignment horizontal="left" vertical="center"/>
    </xf>
    <xf numFmtId="173" fontId="104" fillId="0" borderId="0" xfId="86" applyNumberFormat="1" applyFont="1" applyAlignment="1" applyProtection="1">
      <alignment horizontal="left" vertical="center" wrapText="1"/>
    </xf>
    <xf numFmtId="4" fontId="100" fillId="0" borderId="23" xfId="86" applyNumberFormat="1" applyFont="1" applyBorder="1" applyAlignment="1" applyProtection="1">
      <alignment horizontal="right" vertical="center"/>
    </xf>
    <xf numFmtId="4" fontId="99" fillId="0" borderId="0" xfId="86" applyNumberFormat="1" applyFont="1" applyAlignment="1" applyProtection="1">
      <alignment horizontal="right" vertical="center" wrapText="1"/>
    </xf>
    <xf numFmtId="165" fontId="105" fillId="0" borderId="0" xfId="86" applyNumberFormat="1" applyFont="1" applyAlignment="1" applyProtection="1">
      <alignment horizontal="left" vertical="center"/>
    </xf>
    <xf numFmtId="165" fontId="79" fillId="0" borderId="0" xfId="86" applyNumberFormat="1" applyFont="1" applyAlignment="1" applyProtection="1">
      <alignment horizontal="left" vertical="center"/>
    </xf>
    <xf numFmtId="0" fontId="106" fillId="0" borderId="0" xfId="86" applyFont="1" applyAlignment="1" applyProtection="1">
      <alignment horizontal="left" vertical="center"/>
    </xf>
    <xf numFmtId="173" fontId="6" fillId="0" borderId="0" xfId="86" applyNumberFormat="1" applyFont="1" applyAlignment="1" applyProtection="1">
      <alignment horizontal="left" vertical="center"/>
    </xf>
    <xf numFmtId="169" fontId="6" fillId="0" borderId="0" xfId="86" applyNumberFormat="1" applyFont="1" applyAlignment="1" applyProtection="1">
      <alignment horizontal="left" vertical="center" wrapText="1"/>
    </xf>
    <xf numFmtId="173" fontId="79" fillId="0" borderId="0" xfId="86" applyNumberFormat="1" applyFont="1" applyAlignment="1" applyProtection="1">
      <alignment horizontal="left" vertical="center"/>
    </xf>
    <xf numFmtId="39" fontId="6" fillId="0" borderId="23" xfId="86" applyNumberFormat="1" applyFont="1" applyBorder="1" applyAlignment="1" applyProtection="1">
      <alignment horizontal="right" vertical="center" wrapText="1"/>
    </xf>
    <xf numFmtId="169" fontId="6" fillId="0" borderId="23" xfId="86" applyNumberFormat="1" applyFont="1" applyBorder="1" applyAlignment="1" applyProtection="1">
      <alignment horizontal="right" vertical="center" wrapText="1"/>
    </xf>
    <xf numFmtId="0" fontId="6" fillId="0" borderId="23" xfId="86" applyFont="1" applyBorder="1" applyAlignment="1" applyProtection="1">
      <alignment horizontal="center" vertical="center" wrapText="1"/>
    </xf>
    <xf numFmtId="0" fontId="6" fillId="0" borderId="23" xfId="86" applyFont="1" applyBorder="1" applyAlignment="1" applyProtection="1">
      <alignment horizontal="left" vertical="center" wrapText="1"/>
    </xf>
    <xf numFmtId="0" fontId="99" fillId="0" borderId="0" xfId="86" applyFont="1" applyAlignment="1" applyProtection="1">
      <alignment horizontal="left" vertical="center"/>
    </xf>
    <xf numFmtId="165" fontId="99" fillId="0" borderId="0" xfId="86" applyNumberFormat="1" applyFont="1" applyAlignment="1" applyProtection="1">
      <alignment horizontal="left" vertical="center"/>
    </xf>
    <xf numFmtId="4" fontId="22" fillId="0" borderId="0" xfId="86" applyNumberFormat="1" applyFont="1" applyAlignment="1" applyProtection="1">
      <alignment horizontal="right" vertical="center" wrapText="1"/>
    </xf>
    <xf numFmtId="165" fontId="22" fillId="0" borderId="0" xfId="86" applyNumberFormat="1" applyFont="1" applyAlignment="1" applyProtection="1">
      <alignment horizontal="right" vertical="center" wrapText="1"/>
    </xf>
    <xf numFmtId="173" fontId="24" fillId="0" borderId="0" xfId="86" applyNumberFormat="1" applyFont="1" applyAlignment="1" applyProtection="1">
      <alignment horizontal="left" vertical="center"/>
    </xf>
    <xf numFmtId="39" fontId="14" fillId="0" borderId="23" xfId="86" applyNumberFormat="1" applyFont="1" applyBorder="1" applyAlignment="1" applyProtection="1">
      <alignment horizontal="right" vertical="center" wrapText="1"/>
    </xf>
    <xf numFmtId="0" fontId="22" fillId="0" borderId="23" xfId="86" applyFont="1" applyBorder="1" applyAlignment="1" applyProtection="1">
      <alignment horizontal="left" vertical="center" wrapText="1"/>
    </xf>
    <xf numFmtId="0" fontId="14" fillId="0" borderId="23" xfId="86" applyFont="1" applyBorder="1" applyAlignment="1" applyProtection="1">
      <alignment horizontal="left" vertical="center" wrapText="1"/>
    </xf>
    <xf numFmtId="0" fontId="22" fillId="0" borderId="23" xfId="86" applyFont="1" applyBorder="1" applyAlignment="1" applyProtection="1">
      <alignment horizontal="center" vertical="center" wrapText="1"/>
    </xf>
    <xf numFmtId="173" fontId="16" fillId="0" borderId="0" xfId="86" applyNumberFormat="1" applyFont="1" applyAlignment="1" applyProtection="1">
      <alignment horizontal="left" vertical="center"/>
    </xf>
    <xf numFmtId="173" fontId="107" fillId="0" borderId="0" xfId="86" applyNumberFormat="1" applyFont="1" applyAlignment="1" applyProtection="1">
      <alignment horizontal="left" vertical="center"/>
    </xf>
    <xf numFmtId="3" fontId="6" fillId="0" borderId="0" xfId="86" applyNumberFormat="1" applyFont="1" applyAlignment="1" applyProtection="1">
      <alignment horizontal="left" vertical="center" wrapText="1"/>
    </xf>
    <xf numFmtId="0" fontId="83" fillId="0" borderId="0" xfId="86" applyFont="1" applyAlignment="1" applyProtection="1">
      <alignment horizontal="left" vertical="center" wrapText="1"/>
    </xf>
    <xf numFmtId="173" fontId="99" fillId="0" borderId="0" xfId="86" applyNumberFormat="1" applyFont="1" applyAlignment="1" applyProtection="1">
      <alignment horizontal="left" vertical="center"/>
    </xf>
    <xf numFmtId="173" fontId="99" fillId="0" borderId="0" xfId="86" applyNumberFormat="1" applyFont="1" applyAlignment="1" applyProtection="1">
      <alignment horizontal="left" vertical="center" wrapText="1"/>
    </xf>
    <xf numFmtId="3" fontId="6" fillId="0" borderId="0" xfId="86" applyNumberFormat="1" applyFont="1" applyAlignment="1" applyProtection="1">
      <alignment horizontal="left" vertical="center"/>
    </xf>
    <xf numFmtId="4" fontId="6" fillId="0" borderId="0" xfId="86" applyNumberFormat="1" applyFont="1" applyAlignment="1" applyProtection="1">
      <alignment horizontal="center" vertical="center"/>
    </xf>
    <xf numFmtId="0" fontId="69" fillId="0" borderId="4" xfId="86" applyFont="1" applyBorder="1" applyAlignment="1" applyProtection="1">
      <alignment horizontal="left" vertical="center"/>
    </xf>
    <xf numFmtId="4" fontId="5" fillId="0" borderId="0" xfId="86" applyNumberFormat="1" applyFont="1" applyAlignment="1" applyProtection="1">
      <alignment horizontal="center" vertical="center" wrapText="1"/>
    </xf>
    <xf numFmtId="4" fontId="5" fillId="0" borderId="0" xfId="86" applyNumberFormat="1" applyFont="1" applyAlignment="1" applyProtection="1">
      <alignment horizontal="right" vertical="center" wrapText="1"/>
    </xf>
    <xf numFmtId="0" fontId="5" fillId="0" borderId="0" xfId="86" applyFont="1" applyAlignment="1" applyProtection="1">
      <alignment horizontal="center" vertical="center" wrapText="1"/>
    </xf>
    <xf numFmtId="0" fontId="5" fillId="0" borderId="12" xfId="86" applyFont="1" applyBorder="1" applyAlignment="1" applyProtection="1">
      <alignment horizontal="center" vertical="center" wrapText="1"/>
    </xf>
    <xf numFmtId="0" fontId="6" fillId="0" borderId="0" xfId="86" applyFont="1" applyAlignment="1" applyProtection="1">
      <alignment horizontal="left" wrapText="1"/>
    </xf>
    <xf numFmtId="0" fontId="5" fillId="0" borderId="0" xfId="86" applyFont="1" applyAlignment="1" applyProtection="1">
      <alignment horizontal="left" wrapText="1"/>
    </xf>
    <xf numFmtId="0" fontId="5" fillId="0" borderId="0" xfId="87" applyFont="1" applyAlignment="1" applyProtection="1">
      <alignment horizontal="left" wrapText="1"/>
    </xf>
    <xf numFmtId="0" fontId="5" fillId="0" borderId="0" xfId="86" applyFont="1" applyAlignment="1" applyProtection="1">
      <alignment horizontal="center" wrapText="1"/>
    </xf>
    <xf numFmtId="0" fontId="5" fillId="0" borderId="0" xfId="86" applyFont="1" applyAlignment="1" applyProtection="1">
      <alignment horizontal="left" vertical="center" wrapText="1"/>
    </xf>
    <xf numFmtId="0" fontId="57" fillId="0" borderId="0" xfId="87" applyFont="1" applyAlignment="1" applyProtection="1">
      <alignment horizontal="left" vertical="center" wrapText="1"/>
    </xf>
    <xf numFmtId="0" fontId="9" fillId="0" borderId="0" xfId="87" applyFont="1" applyAlignment="1" applyProtection="1">
      <alignment horizontal="center" vertical="top" wrapText="1"/>
    </xf>
    <xf numFmtId="0" fontId="23" fillId="0" borderId="0" xfId="87" applyFont="1" applyAlignment="1" applyProtection="1">
      <alignment horizontal="left" vertical="center"/>
    </xf>
    <xf numFmtId="0" fontId="57" fillId="0" borderId="0" xfId="87" applyFont="1" applyAlignment="1" applyProtection="1">
      <alignment horizontal="left" vertical="center"/>
    </xf>
    <xf numFmtId="0" fontId="11" fillId="0" borderId="0" xfId="86" applyFont="1" applyAlignment="1">
      <alignment horizontal="center" vertical="top" wrapText="1"/>
      <protection locked="0"/>
    </xf>
    <xf numFmtId="0" fontId="109" fillId="0" borderId="0" xfId="86" applyFont="1" applyAlignment="1" applyProtection="1">
      <alignment horizontal="center" vertical="center" wrapText="1"/>
    </xf>
    <xf numFmtId="0" fontId="108" fillId="0" borderId="0" xfId="87" applyAlignment="1">
      <alignment vertical="top" wrapText="1"/>
      <protection locked="0"/>
    </xf>
    <xf numFmtId="0" fontId="23" fillId="0" borderId="0" xfId="64" applyFont="1" applyAlignment="1" applyProtection="1">
      <alignment horizontal="left" wrapText="1"/>
    </xf>
    <xf numFmtId="0" fontId="31" fillId="0" borderId="0" xfId="26" applyFont="1" applyAlignment="1">
      <alignment horizontal="left"/>
    </xf>
    <xf numFmtId="39" fontId="23" fillId="0" borderId="0" xfId="26" applyNumberFormat="1" applyFont="1" applyAlignment="1" applyProtection="1">
      <alignment horizontal="right"/>
      <protection locked="0"/>
    </xf>
    <xf numFmtId="39" fontId="5" fillId="0" borderId="25" xfId="75" applyNumberFormat="1" applyFont="1" applyBorder="1" applyAlignment="1" applyProtection="1">
      <alignment horizontal="right"/>
      <protection locked="0"/>
    </xf>
    <xf numFmtId="39" fontId="5" fillId="0" borderId="25" xfId="76" applyNumberFormat="1" applyFont="1" applyBorder="1" applyAlignment="1">
      <alignment horizontal="right"/>
      <protection locked="0"/>
    </xf>
    <xf numFmtId="39" fontId="46" fillId="0" borderId="20" xfId="26" applyNumberFormat="1" applyFont="1" applyBorder="1" applyAlignment="1" applyProtection="1">
      <alignment horizontal="right"/>
      <protection locked="0"/>
    </xf>
    <xf numFmtId="39" fontId="94" fillId="0" borderId="20" xfId="26" applyNumberFormat="1" applyFont="1" applyBorder="1" applyAlignment="1" applyProtection="1">
      <alignment horizontal="right"/>
      <protection locked="0"/>
    </xf>
    <xf numFmtId="39" fontId="23" fillId="0" borderId="20" xfId="31" applyNumberFormat="1" applyFont="1" applyBorder="1" applyAlignment="1" applyProtection="1">
      <alignment horizontal="right"/>
      <protection locked="0"/>
    </xf>
    <xf numFmtId="39" fontId="23" fillId="0" borderId="18" xfId="26" applyNumberFormat="1" applyFont="1" applyBorder="1" applyAlignment="1" applyProtection="1">
      <alignment horizontal="right"/>
      <protection locked="0"/>
    </xf>
    <xf numFmtId="37" fontId="23" fillId="5" borderId="20" xfId="26" applyNumberFormat="1" applyFont="1" applyFill="1" applyBorder="1" applyAlignment="1" applyProtection="1">
      <alignment horizontal="right"/>
      <protection locked="0"/>
    </xf>
    <xf numFmtId="0" fontId="23" fillId="5" borderId="20" xfId="26" applyFont="1" applyFill="1" applyBorder="1" applyAlignment="1" applyProtection="1">
      <alignment horizontal="left" wrapText="1"/>
      <protection locked="0"/>
    </xf>
    <xf numFmtId="166" fontId="23" fillId="5" borderId="20" xfId="26" applyNumberFormat="1" applyFont="1" applyFill="1" applyBorder="1" applyAlignment="1" applyProtection="1">
      <alignment horizontal="right"/>
      <protection locked="0"/>
    </xf>
    <xf numFmtId="0" fontId="35" fillId="5" borderId="20" xfId="26" applyFill="1" applyBorder="1" applyAlignment="1" applyProtection="1">
      <alignment horizontal="left" vertical="top"/>
      <protection locked="0"/>
    </xf>
    <xf numFmtId="0" fontId="8" fillId="0" borderId="20" xfId="76" applyBorder="1" applyAlignment="1">
      <alignment horizontal="left" vertical="top"/>
      <protection locked="0"/>
    </xf>
    <xf numFmtId="4" fontId="35" fillId="0" borderId="20" xfId="75" applyNumberFormat="1" applyBorder="1" applyAlignment="1" applyProtection="1">
      <alignment horizontal="left" vertical="top"/>
      <protection locked="0"/>
    </xf>
    <xf numFmtId="4" fontId="35" fillId="0" borderId="20" xfId="75" applyNumberFormat="1" applyBorder="1" applyAlignment="1" applyProtection="1">
      <alignment horizontal="left" vertical="center"/>
      <protection locked="0"/>
    </xf>
    <xf numFmtId="0" fontId="7" fillId="0" borderId="20" xfId="35" applyBorder="1" applyAlignment="1" applyProtection="1">
      <alignment horizontal="left" vertical="center"/>
      <protection locked="0"/>
    </xf>
    <xf numFmtId="0" fontId="8" fillId="0" borderId="20" xfId="12" applyBorder="1" applyAlignment="1">
      <alignment horizontal="left" vertical="top"/>
      <protection locked="0"/>
    </xf>
    <xf numFmtId="0" fontId="30" fillId="0" borderId="0" xfId="26" applyFont="1" applyAlignment="1">
      <alignment horizontal="left"/>
    </xf>
    <xf numFmtId="0" fontId="33" fillId="0" borderId="0" xfId="26" applyFont="1" applyAlignment="1">
      <alignment horizontal="center" vertical="center"/>
    </xf>
    <xf numFmtId="0" fontId="23" fillId="0" borderId="0" xfId="26" applyFont="1" applyAlignment="1">
      <alignment horizontal="left"/>
    </xf>
    <xf numFmtId="0" fontId="5" fillId="0" borderId="0" xfId="26" applyFont="1" applyAlignment="1">
      <alignment horizontal="left"/>
    </xf>
    <xf numFmtId="0" fontId="23" fillId="0" borderId="0" xfId="64" applyFont="1" applyAlignment="1" applyProtection="1">
      <alignment horizontal="left"/>
    </xf>
    <xf numFmtId="0" fontId="75" fillId="0" borderId="0" xfId="26" applyFont="1" applyAlignment="1">
      <alignment horizontal="left" vertical="center"/>
    </xf>
    <xf numFmtId="0" fontId="33" fillId="0" borderId="0" xfId="26" applyFont="1" applyAlignment="1">
      <alignment horizontal="left" vertical="center"/>
    </xf>
    <xf numFmtId="4" fontId="5" fillId="0" borderId="20" xfId="26" applyNumberFormat="1" applyFont="1" applyBorder="1" applyProtection="1">
      <protection locked="0"/>
    </xf>
    <xf numFmtId="0" fontId="23" fillId="0" borderId="20" xfId="22" applyFont="1" applyBorder="1" applyAlignment="1">
      <alignment horizontal="left" wrapText="1"/>
      <protection locked="0"/>
    </xf>
    <xf numFmtId="0" fontId="7" fillId="0" borderId="20" xfId="26" applyFont="1" applyBorder="1" applyAlignment="1" applyProtection="1">
      <alignment vertical="top"/>
      <protection locked="0"/>
    </xf>
    <xf numFmtId="3" fontId="5" fillId="0" borderId="20" xfId="26" applyNumberFormat="1" applyFont="1" applyBorder="1" applyAlignment="1" applyProtection="1">
      <alignment horizontal="right"/>
      <protection locked="0"/>
    </xf>
    <xf numFmtId="0" fontId="5" fillId="0" borderId="20" xfId="26" applyFont="1" applyBorder="1" applyAlignment="1">
      <alignment horizontal="left" wrapText="1"/>
    </xf>
    <xf numFmtId="2" fontId="46" fillId="0" borderId="20" xfId="26" applyNumberFormat="1" applyFont="1" applyBorder="1" applyAlignment="1" applyProtection="1">
      <alignment horizontal="right" wrapText="1"/>
      <protection locked="0"/>
    </xf>
    <xf numFmtId="39" fontId="23" fillId="0" borderId="20" xfId="64" applyNumberFormat="1" applyFont="1" applyBorder="1" applyAlignment="1">
      <alignment horizontal="right"/>
      <protection locked="0"/>
    </xf>
    <xf numFmtId="39" fontId="5" fillId="0" borderId="20" xfId="64" applyNumberFormat="1" applyFont="1" applyBorder="1" applyAlignment="1">
      <alignment horizontal="center"/>
      <protection locked="0"/>
    </xf>
    <xf numFmtId="37" fontId="45" fillId="0" borderId="20" xfId="57" applyNumberFormat="1" applyFont="1" applyBorder="1" applyAlignment="1">
      <alignment horizontal="right"/>
      <protection locked="0"/>
    </xf>
    <xf numFmtId="4" fontId="25" fillId="0" borderId="20" xfId="57" applyNumberFormat="1" applyFont="1" applyBorder="1" applyAlignment="1">
      <alignment horizontal="right" wrapText="1"/>
      <protection locked="0"/>
    </xf>
    <xf numFmtId="0" fontId="8" fillId="0" borderId="20" xfId="57" applyBorder="1" applyAlignment="1">
      <alignment horizontal="left" vertical="top"/>
      <protection locked="0"/>
    </xf>
    <xf numFmtId="1" fontId="5" fillId="0" borderId="24" xfId="77" applyNumberFormat="1" applyFont="1" applyBorder="1" applyAlignment="1" applyProtection="1">
      <alignment horizontal="right"/>
      <protection locked="0"/>
    </xf>
    <xf numFmtId="0" fontId="25" fillId="0" borderId="24" xfId="52" applyFont="1" applyBorder="1" applyAlignment="1" applyProtection="1">
      <alignment horizontal="left" vertical="center" wrapText="1"/>
      <protection locked="0"/>
    </xf>
    <xf numFmtId="0" fontId="25" fillId="0" borderId="24" xfId="77" applyFont="1" applyBorder="1" applyAlignment="1" applyProtection="1">
      <alignment horizontal="left" wrapText="1"/>
      <protection locked="0"/>
    </xf>
    <xf numFmtId="4" fontId="5" fillId="0" borderId="24" xfId="77" applyNumberFormat="1" applyFont="1" applyBorder="1" applyAlignment="1" applyProtection="1">
      <alignment horizontal="right"/>
      <protection locked="0"/>
    </xf>
    <xf numFmtId="37" fontId="5" fillId="0" borderId="24" xfId="77" applyNumberFormat="1" applyFont="1" applyBorder="1" applyAlignment="1" applyProtection="1">
      <alignment horizontal="right"/>
      <protection locked="0"/>
    </xf>
    <xf numFmtId="49" fontId="5" fillId="0" borderId="24" xfId="77" applyNumberFormat="1" applyFont="1" applyBorder="1" applyAlignment="1" applyProtection="1">
      <alignment horizontal="left" wrapText="1"/>
      <protection locked="0"/>
    </xf>
    <xf numFmtId="0" fontId="5" fillId="0" borderId="24" xfId="77" applyFont="1" applyBorder="1" applyAlignment="1" applyProtection="1">
      <alignment horizontal="left" wrapText="1"/>
      <protection locked="0"/>
    </xf>
    <xf numFmtId="39" fontId="5" fillId="0" borderId="24" xfId="77" applyNumberFormat="1" applyFont="1" applyBorder="1" applyAlignment="1" applyProtection="1">
      <alignment horizontal="center"/>
      <protection locked="0"/>
    </xf>
    <xf numFmtId="4" fontId="25" fillId="0" borderId="24" xfId="77" applyNumberFormat="1" applyFont="1" applyBorder="1" applyAlignment="1" applyProtection="1">
      <alignment horizontal="right"/>
      <protection locked="0"/>
    </xf>
    <xf numFmtId="39" fontId="5" fillId="0" borderId="24" xfId="77" applyNumberFormat="1" applyFont="1" applyBorder="1" applyAlignment="1" applyProtection="1">
      <alignment horizontal="right"/>
      <protection locked="0"/>
    </xf>
    <xf numFmtId="4" fontId="45" fillId="0" borderId="24" xfId="77" applyNumberFormat="1" applyFont="1" applyBorder="1" applyAlignment="1" applyProtection="1">
      <alignment horizontal="right"/>
      <protection locked="0"/>
    </xf>
    <xf numFmtId="0" fontId="35" fillId="0" borderId="0" xfId="77"/>
    <xf numFmtId="37" fontId="5" fillId="0" borderId="24" xfId="26" applyNumberFormat="1" applyFont="1" applyBorder="1" applyAlignment="1" applyProtection="1">
      <alignment horizontal="right"/>
      <protection locked="0"/>
    </xf>
    <xf numFmtId="49" fontId="5" fillId="0" borderId="24" xfId="26" applyNumberFormat="1" applyFont="1" applyBorder="1" applyAlignment="1" applyProtection="1">
      <alignment horizontal="left" wrapText="1"/>
      <protection locked="0"/>
    </xf>
    <xf numFmtId="0" fontId="5" fillId="0" borderId="24" xfId="85" applyFont="1" applyBorder="1" applyAlignment="1">
      <alignment horizontal="left" wrapText="1"/>
      <protection locked="0"/>
    </xf>
    <xf numFmtId="0" fontId="5" fillId="0" borderId="24" xfId="26" applyFont="1" applyBorder="1" applyAlignment="1" applyProtection="1">
      <alignment horizontal="left" wrapText="1"/>
      <protection locked="0"/>
    </xf>
    <xf numFmtId="2" fontId="5" fillId="0" borderId="24" xfId="26" applyNumberFormat="1" applyFont="1" applyBorder="1" applyAlignment="1" applyProtection="1">
      <alignment horizontal="right"/>
      <protection locked="0"/>
    </xf>
    <xf numFmtId="0" fontId="25" fillId="0" borderId="24" xfId="26" applyFont="1" applyBorder="1" applyAlignment="1" applyProtection="1">
      <alignment horizontal="left" wrapText="1"/>
      <protection locked="0"/>
    </xf>
    <xf numFmtId="2" fontId="25" fillId="0" borderId="24" xfId="26" applyNumberFormat="1" applyFont="1" applyBorder="1" applyAlignment="1" applyProtection="1">
      <alignment horizontal="right"/>
      <protection locked="0"/>
    </xf>
    <xf numFmtId="39" fontId="5" fillId="0" borderId="24" xfId="26" applyNumberFormat="1" applyFont="1" applyBorder="1" applyAlignment="1" applyProtection="1">
      <alignment horizontal="right"/>
      <protection locked="0"/>
    </xf>
    <xf numFmtId="37" fontId="5" fillId="0" borderId="24" xfId="12" applyNumberFormat="1" applyFont="1" applyBorder="1" applyAlignment="1">
      <alignment horizontal="right"/>
      <protection locked="0"/>
    </xf>
    <xf numFmtId="0" fontId="5" fillId="0" borderId="24" xfId="12" applyFont="1" applyBorder="1" applyAlignment="1">
      <alignment horizontal="left" wrapText="1"/>
      <protection locked="0"/>
    </xf>
    <xf numFmtId="2" fontId="25" fillId="0" borderId="24" xfId="12" applyNumberFormat="1" applyFont="1" applyBorder="1" applyAlignment="1">
      <alignment horizontal="right"/>
      <protection locked="0"/>
    </xf>
    <xf numFmtId="39" fontId="5" fillId="0" borderId="24" xfId="12" applyNumberFormat="1" applyFont="1" applyBorder="1" applyAlignment="1">
      <alignment horizontal="right"/>
      <protection locked="0"/>
    </xf>
    <xf numFmtId="0" fontId="45" fillId="0" borderId="24" xfId="75" applyFont="1" applyBorder="1" applyAlignment="1" applyProtection="1">
      <alignment horizontal="left" vertical="center" wrapText="1"/>
      <protection locked="0"/>
    </xf>
    <xf numFmtId="0" fontId="25" fillId="0" borderId="24" xfId="75" applyFont="1" applyBorder="1" applyAlignment="1" applyProtection="1">
      <alignment horizontal="left" wrapText="1"/>
      <protection locked="0"/>
    </xf>
    <xf numFmtId="39" fontId="45" fillId="0" borderId="24" xfId="75" applyNumberFormat="1" applyFont="1" applyBorder="1" applyAlignment="1" applyProtection="1">
      <alignment horizontal="right" vertical="center"/>
      <protection locked="0"/>
    </xf>
    <xf numFmtId="39" fontId="5" fillId="0" borderId="24" xfId="35" applyNumberFormat="1" applyFont="1" applyBorder="1" applyAlignment="1" applyProtection="1">
      <alignment horizontal="center"/>
      <protection locked="0"/>
    </xf>
    <xf numFmtId="39" fontId="5" fillId="0" borderId="24" xfId="35" applyNumberFormat="1" applyFont="1" applyBorder="1" applyAlignment="1" applyProtection="1">
      <alignment horizontal="right"/>
      <protection locked="0"/>
    </xf>
    <xf numFmtId="0" fontId="7" fillId="0" borderId="20" xfId="26" applyFont="1" applyBorder="1" applyAlignment="1" applyProtection="1">
      <alignment horizontal="left" vertical="top"/>
      <protection locked="0"/>
    </xf>
    <xf numFmtId="37" fontId="45" fillId="0" borderId="24" xfId="26" applyNumberFormat="1" applyFont="1" applyBorder="1" applyAlignment="1" applyProtection="1">
      <alignment horizontal="right"/>
      <protection locked="0"/>
    </xf>
    <xf numFmtId="0" fontId="45" fillId="0" borderId="24" xfId="26" applyFont="1" applyBorder="1" applyAlignment="1" applyProtection="1">
      <alignment horizontal="left" wrapText="1"/>
      <protection locked="0"/>
    </xf>
    <xf numFmtId="4" fontId="25" fillId="0" borderId="24" xfId="26" applyNumberFormat="1" applyFont="1" applyBorder="1" applyAlignment="1" applyProtection="1">
      <alignment horizontal="right"/>
      <protection locked="0"/>
    </xf>
    <xf numFmtId="39" fontId="45" fillId="0" borderId="24" xfId="26" applyNumberFormat="1" applyFont="1" applyBorder="1" applyAlignment="1" applyProtection="1">
      <alignment horizontal="right"/>
      <protection locked="0"/>
    </xf>
    <xf numFmtId="0" fontId="7" fillId="0" borderId="24" xfId="26" applyFont="1" applyBorder="1" applyAlignment="1" applyProtection="1">
      <alignment horizontal="left" vertical="top"/>
      <protection locked="0"/>
    </xf>
    <xf numFmtId="3" fontId="23" fillId="0" borderId="20" xfId="26" applyNumberFormat="1" applyFont="1" applyBorder="1" applyAlignment="1" applyProtection="1">
      <alignment horizontal="right"/>
      <protection locked="0"/>
    </xf>
    <xf numFmtId="1" fontId="5" fillId="0" borderId="24" xfId="0" applyNumberFormat="1" applyFont="1" applyBorder="1" applyAlignment="1">
      <alignment horizontal="right"/>
      <protection locked="0"/>
    </xf>
    <xf numFmtId="0" fontId="5" fillId="0" borderId="24" xfId="0" applyFont="1" applyBorder="1" applyAlignment="1">
      <alignment horizontal="left" wrapText="1"/>
      <protection locked="0"/>
    </xf>
    <xf numFmtId="4" fontId="5" fillId="0" borderId="24" xfId="0" applyNumberFormat="1" applyFont="1" applyBorder="1" applyAlignment="1">
      <alignment horizontal="right"/>
      <protection locked="0"/>
    </xf>
    <xf numFmtId="39" fontId="5" fillId="0" borderId="24" xfId="0" applyNumberFormat="1" applyFont="1" applyBorder="1" applyAlignment="1">
      <alignment horizontal="center"/>
      <protection locked="0"/>
    </xf>
    <xf numFmtId="0" fontId="0" fillId="0" borderId="0" xfId="0" applyAlignment="1">
      <alignment horizontal="left" vertical="top"/>
      <protection locked="0"/>
    </xf>
    <xf numFmtId="37" fontId="45" fillId="0" borderId="24" xfId="0" applyNumberFormat="1" applyFont="1" applyBorder="1" applyAlignment="1">
      <alignment horizontal="right"/>
      <protection locked="0"/>
    </xf>
    <xf numFmtId="0" fontId="45" fillId="0" borderId="24" xfId="0" applyFont="1" applyBorder="1" applyAlignment="1">
      <alignment horizontal="left" wrapText="1"/>
      <protection locked="0"/>
    </xf>
    <xf numFmtId="0" fontId="25" fillId="0" borderId="24" xfId="0" applyFont="1" applyBorder="1" applyAlignment="1">
      <alignment horizontal="left" wrapText="1"/>
      <protection locked="0"/>
    </xf>
    <xf numFmtId="4" fontId="25" fillId="0" borderId="24" xfId="0" applyNumberFormat="1" applyFont="1" applyBorder="1" applyAlignment="1">
      <alignment horizontal="right"/>
      <protection locked="0"/>
    </xf>
    <xf numFmtId="39" fontId="45" fillId="0" borderId="24" xfId="0" applyNumberFormat="1" applyFont="1" applyBorder="1" applyAlignment="1">
      <alignment horizontal="right"/>
      <protection locked="0"/>
    </xf>
    <xf numFmtId="39" fontId="5" fillId="0" borderId="24" xfId="0" applyNumberFormat="1" applyFont="1" applyBorder="1" applyAlignment="1">
      <alignment horizontal="right"/>
      <protection locked="0"/>
    </xf>
    <xf numFmtId="0" fontId="0" fillId="0" borderId="24" xfId="0" applyBorder="1" applyAlignment="1">
      <alignment horizontal="left" vertical="top"/>
      <protection locked="0"/>
    </xf>
    <xf numFmtId="3" fontId="45" fillId="0" borderId="20" xfId="26" applyNumberFormat="1" applyFont="1" applyBorder="1" applyAlignment="1" applyProtection="1">
      <alignment horizontal="right"/>
      <protection locked="0"/>
    </xf>
    <xf numFmtId="0" fontId="23" fillId="0" borderId="20" xfId="8" applyFont="1" applyBorder="1" applyAlignment="1" applyProtection="1">
      <alignment horizontal="left" wrapText="1"/>
      <protection locked="0"/>
    </xf>
    <xf numFmtId="0" fontId="23" fillId="0" borderId="20" xfId="77" applyFont="1" applyBorder="1" applyAlignment="1" applyProtection="1">
      <alignment horizontal="left" wrapText="1"/>
      <protection locked="0"/>
    </xf>
    <xf numFmtId="4" fontId="23" fillId="0" borderId="20" xfId="77" applyNumberFormat="1" applyFont="1" applyBorder="1" applyAlignment="1" applyProtection="1">
      <alignment horizontal="right"/>
      <protection locked="0"/>
    </xf>
    <xf numFmtId="0" fontId="53" fillId="0" borderId="0" xfId="77" applyFont="1" applyAlignment="1" applyProtection="1">
      <alignment horizontal="left" vertical="top"/>
      <protection locked="0"/>
    </xf>
    <xf numFmtId="0" fontId="5" fillId="0" borderId="20" xfId="8" applyFont="1" applyBorder="1" applyAlignment="1" applyProtection="1">
      <alignment horizontal="left" wrapText="1"/>
      <protection locked="0"/>
    </xf>
    <xf numFmtId="4" fontId="94" fillId="0" borderId="20" xfId="26" applyNumberFormat="1" applyFont="1" applyBorder="1" applyAlignment="1" applyProtection="1">
      <alignment horizontal="right"/>
      <protection locked="0"/>
    </xf>
    <xf numFmtId="37" fontId="5" fillId="0" borderId="20" xfId="31" applyNumberFormat="1" applyFont="1" applyBorder="1" applyAlignment="1" applyProtection="1">
      <alignment horizontal="right"/>
      <protection locked="0"/>
    </xf>
    <xf numFmtId="0" fontId="5" fillId="0" borderId="20" xfId="31" applyFont="1" applyBorder="1" applyAlignment="1" applyProtection="1">
      <alignment horizontal="left" wrapText="1"/>
      <protection locked="0"/>
    </xf>
    <xf numFmtId="4" fontId="5" fillId="0" borderId="20" xfId="31" applyNumberFormat="1" applyFont="1" applyBorder="1" applyAlignment="1" applyProtection="1">
      <alignment horizontal="right"/>
      <protection locked="0"/>
    </xf>
    <xf numFmtId="39" fontId="5" fillId="0" borderId="20" xfId="77" applyNumberFormat="1" applyFont="1" applyBorder="1" applyAlignment="1" applyProtection="1">
      <alignment horizontal="center"/>
      <protection locked="0"/>
    </xf>
    <xf numFmtId="37" fontId="45" fillId="0" borderId="20" xfId="31" applyNumberFormat="1" applyFont="1" applyBorder="1" applyAlignment="1" applyProtection="1">
      <alignment horizontal="right"/>
      <protection locked="0"/>
    </xf>
    <xf numFmtId="0" fontId="45" fillId="0" borderId="20" xfId="31" applyFont="1" applyBorder="1" applyAlignment="1" applyProtection="1">
      <alignment horizontal="left" wrapText="1"/>
      <protection locked="0"/>
    </xf>
    <xf numFmtId="0" fontId="25" fillId="0" borderId="20" xfId="31" applyFont="1" applyBorder="1" applyAlignment="1" applyProtection="1">
      <alignment horizontal="left" wrapText="1"/>
      <protection locked="0"/>
    </xf>
    <xf numFmtId="4" fontId="25" fillId="0" borderId="20" xfId="31" applyNumberFormat="1" applyFont="1" applyBorder="1" applyAlignment="1" applyProtection="1">
      <alignment horizontal="right"/>
      <protection locked="0"/>
    </xf>
    <xf numFmtId="1" fontId="23" fillId="0" borderId="24" xfId="0" applyNumberFormat="1" applyFont="1" applyBorder="1" applyAlignment="1">
      <alignment horizontal="right"/>
      <protection locked="0"/>
    </xf>
    <xf numFmtId="0" fontId="23" fillId="0" borderId="24" xfId="0" applyFont="1" applyBorder="1" applyAlignment="1">
      <alignment horizontal="left" wrapText="1"/>
      <protection locked="0"/>
    </xf>
    <xf numFmtId="4" fontId="23" fillId="0" borderId="24" xfId="0" applyNumberFormat="1" applyFont="1" applyBorder="1" applyAlignment="1">
      <alignment horizontal="right"/>
      <protection locked="0"/>
    </xf>
    <xf numFmtId="49" fontId="5" fillId="0" borderId="24" xfId="0" applyNumberFormat="1" applyFont="1" applyBorder="1" applyAlignment="1">
      <alignment horizontal="left" wrapText="1"/>
      <protection locked="0"/>
    </xf>
    <xf numFmtId="169" fontId="5" fillId="0" borderId="24" xfId="77" applyNumberFormat="1" applyFont="1" applyBorder="1" applyAlignment="1" applyProtection="1">
      <alignment horizontal="right"/>
      <protection locked="0"/>
    </xf>
    <xf numFmtId="0" fontId="46" fillId="0" borderId="24" xfId="77" applyFont="1" applyBorder="1" applyAlignment="1" applyProtection="1">
      <alignment horizontal="left" wrapText="1"/>
      <protection locked="0"/>
    </xf>
    <xf numFmtId="1" fontId="5" fillId="0" borderId="24" xfId="81" applyNumberFormat="1" applyFont="1" applyBorder="1" applyAlignment="1" applyProtection="1">
      <alignment horizontal="right"/>
      <protection locked="0"/>
    </xf>
    <xf numFmtId="49" fontId="45" fillId="0" borderId="24" xfId="81" applyNumberFormat="1" applyFont="1" applyBorder="1" applyAlignment="1" applyProtection="1">
      <alignment horizontal="left" wrapText="1"/>
      <protection locked="0"/>
    </xf>
    <xf numFmtId="0" fontId="45" fillId="0" borderId="24" xfId="81" applyFont="1" applyBorder="1" applyAlignment="1" applyProtection="1">
      <alignment horizontal="left" wrapText="1"/>
      <protection locked="0"/>
    </xf>
    <xf numFmtId="0" fontId="25" fillId="0" borderId="24" xfId="81" applyFont="1" applyBorder="1" applyAlignment="1" applyProtection="1">
      <alignment horizontal="left" wrapText="1"/>
      <protection locked="0"/>
    </xf>
    <xf numFmtId="4" fontId="25" fillId="0" borderId="24" xfId="81" applyNumberFormat="1" applyFont="1" applyBorder="1" applyAlignment="1" applyProtection="1">
      <alignment horizontal="right" wrapText="1"/>
      <protection locked="0"/>
    </xf>
    <xf numFmtId="4" fontId="45" fillId="0" borderId="24" xfId="81" applyNumberFormat="1" applyFont="1" applyBorder="1" applyAlignment="1" applyProtection="1">
      <alignment horizontal="right"/>
      <protection locked="0"/>
    </xf>
    <xf numFmtId="0" fontId="47" fillId="0" borderId="0" xfId="81" applyAlignment="1" applyProtection="1">
      <alignment horizontal="left" vertical="top"/>
      <protection locked="0"/>
    </xf>
    <xf numFmtId="4" fontId="5" fillId="0" borderId="24" xfId="81" applyNumberFormat="1" applyFont="1" applyBorder="1" applyAlignment="1" applyProtection="1">
      <alignment horizontal="right"/>
      <protection locked="0"/>
    </xf>
    <xf numFmtId="3" fontId="15" fillId="5" borderId="15" xfId="8" applyNumberFormat="1" applyFont="1" applyFill="1" applyBorder="1" applyAlignment="1">
      <alignment horizontal="right"/>
    </xf>
    <xf numFmtId="0" fontId="14" fillId="2" borderId="12" xfId="8" applyFont="1" applyFill="1" applyBorder="1" applyAlignment="1">
      <alignment horizontal="center" vertical="center" wrapText="1"/>
    </xf>
    <xf numFmtId="0" fontId="14" fillId="2" borderId="3" xfId="8" applyFont="1" applyFill="1" applyBorder="1" applyAlignment="1">
      <alignment horizontal="center" vertical="center" wrapText="1"/>
    </xf>
    <xf numFmtId="4" fontId="9" fillId="0" borderId="26" xfId="8" applyNumberFormat="1" applyFont="1" applyBorder="1" applyAlignment="1">
      <alignment horizontal="right" vertical="center"/>
    </xf>
    <xf numFmtId="4" fontId="9" fillId="0" borderId="27" xfId="8" applyNumberFormat="1" applyFont="1" applyBorder="1" applyAlignment="1">
      <alignment horizontal="right" vertical="center"/>
    </xf>
    <xf numFmtId="4" fontId="9" fillId="0" borderId="28" xfId="8" applyNumberFormat="1" applyFont="1" applyBorder="1" applyAlignment="1">
      <alignment horizontal="right" vertical="center"/>
    </xf>
    <xf numFmtId="4" fontId="9" fillId="0" borderId="8" xfId="8" applyNumberFormat="1" applyFont="1" applyBorder="1" applyAlignment="1">
      <alignment horizontal="right" vertical="center"/>
    </xf>
    <xf numFmtId="4" fontId="9" fillId="0" borderId="7" xfId="8" applyNumberFormat="1" applyFont="1" applyBorder="1" applyAlignment="1">
      <alignment horizontal="right" vertical="center"/>
    </xf>
    <xf numFmtId="4" fontId="9" fillId="0" borderId="6" xfId="8" applyNumberFormat="1" applyFont="1" applyBorder="1" applyAlignment="1">
      <alignment horizontal="right" vertical="center"/>
    </xf>
    <xf numFmtId="1" fontId="5" fillId="0" borderId="24" xfId="0" applyNumberFormat="1" applyFont="1" applyBorder="1" applyAlignment="1" applyProtection="1">
      <alignment horizontal="right"/>
    </xf>
    <xf numFmtId="0" fontId="5" fillId="0" borderId="24" xfId="0" applyFont="1" applyBorder="1" applyAlignment="1" applyProtection="1">
      <alignment horizontal="left" wrapText="1"/>
    </xf>
    <xf numFmtId="4" fontId="5" fillId="0" borderId="24" xfId="0" applyNumberFormat="1" applyFont="1" applyBorder="1" applyAlignment="1" applyProtection="1">
      <alignment horizontal="right"/>
    </xf>
    <xf numFmtId="4" fontId="5" fillId="5" borderId="24" xfId="0" applyNumberFormat="1" applyFont="1" applyFill="1" applyBorder="1" applyAlignment="1" applyProtection="1">
      <alignment horizontal="right"/>
    </xf>
    <xf numFmtId="39" fontId="5" fillId="5" borderId="24" xfId="0" applyNumberFormat="1" applyFont="1" applyFill="1" applyBorder="1" applyAlignment="1" applyProtection="1">
      <alignment horizontal="center"/>
    </xf>
    <xf numFmtId="0" fontId="0" fillId="0" borderId="24" xfId="0" applyBorder="1" applyAlignment="1">
      <alignment horizontal="right" vertical="top"/>
      <protection locked="0"/>
    </xf>
    <xf numFmtId="0" fontId="25" fillId="0" borderId="24" xfId="12" applyFont="1" applyBorder="1" applyAlignment="1">
      <alignment horizontal="left" wrapText="1"/>
      <protection locked="0"/>
    </xf>
    <xf numFmtId="0" fontId="25" fillId="0" borderId="24" xfId="0" applyFont="1" applyBorder="1" applyAlignment="1" applyProtection="1">
      <alignment horizontal="left" wrapText="1"/>
    </xf>
    <xf numFmtId="37" fontId="23" fillId="0" borderId="24" xfId="0" applyNumberFormat="1" applyFont="1" applyBorder="1" applyAlignment="1">
      <alignment horizontal="right"/>
      <protection locked="0"/>
    </xf>
    <xf numFmtId="39" fontId="23" fillId="0" borderId="24" xfId="0" applyNumberFormat="1" applyFont="1" applyBorder="1" applyAlignment="1">
      <alignment horizontal="right"/>
      <protection locked="0"/>
    </xf>
    <xf numFmtId="0" fontId="50" fillId="0" borderId="24" xfId="0" applyFont="1" applyBorder="1" applyAlignment="1">
      <alignment horizontal="right" vertical="center"/>
      <protection locked="0"/>
    </xf>
    <xf numFmtId="49" fontId="5" fillId="0" borderId="24" xfId="35" applyNumberFormat="1" applyFont="1" applyBorder="1" applyAlignment="1" applyProtection="1">
      <alignment horizontal="right" wrapText="1"/>
      <protection locked="0"/>
    </xf>
    <xf numFmtId="49" fontId="5" fillId="0" borderId="24" xfId="35" applyNumberFormat="1" applyFont="1" applyBorder="1" applyAlignment="1" applyProtection="1">
      <alignment horizontal="left" wrapText="1"/>
      <protection locked="0"/>
    </xf>
    <xf numFmtId="0" fontId="5" fillId="0" borderId="24" xfId="35" applyFont="1" applyBorder="1" applyAlignment="1" applyProtection="1">
      <alignment horizontal="left" wrapText="1"/>
      <protection locked="0"/>
    </xf>
    <xf numFmtId="4" fontId="5" fillId="0" borderId="24" xfId="35" applyNumberFormat="1" applyFont="1" applyBorder="1" applyAlignment="1" applyProtection="1">
      <alignment horizontal="right"/>
      <protection locked="0"/>
    </xf>
    <xf numFmtId="169" fontId="5" fillId="0" borderId="24" xfId="35" applyNumberFormat="1" applyFont="1" applyBorder="1" applyAlignment="1" applyProtection="1">
      <alignment horizontal="right"/>
      <protection locked="0"/>
    </xf>
    <xf numFmtId="4" fontId="25" fillId="0" borderId="24" xfId="35" applyNumberFormat="1" applyFont="1" applyBorder="1" applyAlignment="1" applyProtection="1">
      <alignment horizontal="right"/>
      <protection locked="0"/>
    </xf>
    <xf numFmtId="4" fontId="25" fillId="0" borderId="24" xfId="75" applyNumberFormat="1" applyFont="1" applyBorder="1" applyAlignment="1" applyProtection="1">
      <alignment horizontal="right"/>
      <protection locked="0"/>
    </xf>
    <xf numFmtId="37" fontId="23" fillId="0" borderId="24" xfId="35" applyNumberFormat="1" applyFont="1" applyBorder="1" applyAlignment="1" applyProtection="1">
      <alignment horizontal="right"/>
      <protection locked="0"/>
    </xf>
    <xf numFmtId="0" fontId="23" fillId="0" borderId="24" xfId="35" applyFont="1" applyBorder="1" applyAlignment="1" applyProtection="1">
      <alignment horizontal="left" wrapText="1"/>
      <protection locked="0"/>
    </xf>
    <xf numFmtId="4" fontId="23" fillId="0" borderId="24" xfId="35" applyNumberFormat="1" applyFont="1" applyBorder="1" applyAlignment="1" applyProtection="1">
      <alignment horizontal="right"/>
      <protection locked="0"/>
    </xf>
    <xf numFmtId="39" fontId="23" fillId="0" borderId="24" xfId="35" applyNumberFormat="1" applyFont="1" applyBorder="1" applyAlignment="1" applyProtection="1">
      <alignment horizontal="right"/>
      <protection locked="0"/>
    </xf>
    <xf numFmtId="39" fontId="23" fillId="0" borderId="24" xfId="31" applyNumberFormat="1" applyFont="1" applyBorder="1" applyAlignment="1" applyProtection="1">
      <alignment horizontal="right"/>
      <protection locked="0"/>
    </xf>
    <xf numFmtId="0" fontId="62" fillId="0" borderId="0" xfId="26" applyFont="1" applyAlignment="1" applyProtection="1">
      <alignment horizontal="left" vertical="center"/>
      <protection locked="0"/>
    </xf>
    <xf numFmtId="0" fontId="34" fillId="0" borderId="0" xfId="26" applyFont="1" applyAlignment="1">
      <alignment horizontal="center" vertical="center" wrapText="1"/>
    </xf>
    <xf numFmtId="0" fontId="65" fillId="0" borderId="0" xfId="26" applyFont="1"/>
    <xf numFmtId="0" fontId="87" fillId="0" borderId="0" xfId="26" applyFont="1" applyAlignment="1" applyProtection="1">
      <alignment horizontal="left" vertical="top"/>
      <protection locked="0"/>
    </xf>
    <xf numFmtId="0" fontId="59" fillId="0" borderId="0" xfId="26" applyFont="1" applyAlignment="1">
      <alignment vertical="center"/>
    </xf>
    <xf numFmtId="0" fontId="35" fillId="0" borderId="0" xfId="26" applyAlignment="1" applyProtection="1">
      <alignment horizontal="left" vertical="center"/>
      <protection locked="0"/>
    </xf>
    <xf numFmtId="0" fontId="71" fillId="0" borderId="0" xfId="32" applyFont="1" applyAlignment="1" applyProtection="1">
      <alignment horizontal="left" vertical="center"/>
      <protection locked="0"/>
    </xf>
    <xf numFmtId="0" fontId="35" fillId="0" borderId="0" xfId="26" applyAlignment="1" applyProtection="1">
      <alignment horizontal="center" vertical="center" wrapText="1"/>
      <protection locked="0"/>
    </xf>
    <xf numFmtId="0" fontId="35" fillId="0" borderId="0" xfId="26" applyAlignment="1" applyProtection="1">
      <alignment horizontal="center" vertical="center"/>
      <protection locked="0"/>
    </xf>
    <xf numFmtId="0" fontId="88" fillId="0" borderId="0" xfId="26" applyFont="1" applyAlignment="1" applyProtection="1">
      <alignment horizontal="left" vertical="center"/>
      <protection locked="0"/>
    </xf>
    <xf numFmtId="0" fontId="87" fillId="0" borderId="0" xfId="75" applyFont="1" applyAlignment="1" applyProtection="1">
      <alignment horizontal="center" vertical="center"/>
      <protection locked="0"/>
    </xf>
    <xf numFmtId="4" fontId="89" fillId="0" borderId="0" xfId="75" applyNumberFormat="1" applyFont="1" applyAlignment="1" applyProtection="1">
      <alignment horizontal="center" vertical="center"/>
      <protection locked="0"/>
    </xf>
    <xf numFmtId="0" fontId="66" fillId="0" borderId="0" xfId="75" applyFont="1" applyAlignment="1" applyProtection="1">
      <alignment horizontal="left" vertical="center"/>
      <protection locked="0"/>
    </xf>
    <xf numFmtId="4" fontId="3" fillId="0" borderId="0" xfId="75" applyNumberFormat="1" applyFont="1" applyAlignment="1" applyProtection="1">
      <alignment horizontal="center" vertical="center"/>
      <protection locked="0"/>
    </xf>
    <xf numFmtId="3" fontId="35" fillId="0" borderId="0" xfId="75" applyNumberFormat="1" applyAlignment="1" applyProtection="1">
      <alignment horizontal="left" vertical="top"/>
      <protection locked="0"/>
    </xf>
    <xf numFmtId="0" fontId="84" fillId="0" borderId="0" xfId="76" applyFont="1" applyAlignment="1">
      <alignment horizontal="left" vertical="center"/>
      <protection locked="0"/>
    </xf>
    <xf numFmtId="0" fontId="84" fillId="0" borderId="0" xfId="76" applyFont="1" applyAlignment="1">
      <alignment horizontal="center" vertical="center"/>
      <protection locked="0"/>
    </xf>
    <xf numFmtId="4" fontId="68" fillId="0" borderId="0" xfId="26" applyNumberFormat="1" applyFont="1" applyAlignment="1" applyProtection="1">
      <alignment horizontal="center" vertical="center"/>
      <protection locked="0"/>
    </xf>
    <xf numFmtId="4" fontId="72" fillId="0" borderId="0" xfId="26" applyNumberFormat="1" applyFont="1" applyAlignment="1" applyProtection="1">
      <alignment horizontal="center" vertical="center"/>
      <protection locked="0"/>
    </xf>
    <xf numFmtId="0" fontId="73" fillId="0" borderId="0" xfId="76" applyFont="1" applyAlignment="1">
      <alignment horizontal="center" vertical="center"/>
      <protection locked="0"/>
    </xf>
    <xf numFmtId="4" fontId="68" fillId="0" borderId="0" xfId="26" applyNumberFormat="1" applyFont="1" applyAlignment="1" applyProtection="1">
      <alignment horizontal="left" vertical="center"/>
      <protection locked="0"/>
    </xf>
    <xf numFmtId="0" fontId="29" fillId="0" borderId="0" xfId="26" applyFont="1" applyAlignment="1" applyProtection="1">
      <alignment horizontal="left" vertical="center"/>
      <protection locked="0"/>
    </xf>
    <xf numFmtId="168" fontId="7" fillId="0" borderId="0" xfId="8" applyNumberFormat="1" applyAlignment="1" applyProtection="1">
      <alignment horizontal="left" vertical="top"/>
      <protection locked="0"/>
    </xf>
    <xf numFmtId="0" fontId="76" fillId="0" borderId="0" xfId="26" applyFont="1" applyAlignment="1" applyProtection="1">
      <alignment horizontal="center" vertical="center"/>
      <protection locked="0"/>
    </xf>
    <xf numFmtId="4" fontId="76" fillId="0" borderId="0" xfId="26" applyNumberFormat="1" applyFont="1" applyAlignment="1" applyProtection="1">
      <alignment horizontal="center" vertical="center"/>
      <protection locked="0"/>
    </xf>
    <xf numFmtId="170" fontId="55" fillId="0" borderId="0" xfId="26" applyNumberFormat="1" applyFont="1" applyAlignment="1" applyProtection="1">
      <alignment horizontal="center" vertical="center"/>
      <protection locked="0"/>
    </xf>
    <xf numFmtId="4" fontId="49" fillId="0" borderId="0" xfId="26" applyNumberFormat="1" applyFont="1" applyAlignment="1" applyProtection="1">
      <alignment horizontal="left" vertical="center"/>
      <protection locked="0"/>
    </xf>
    <xf numFmtId="37" fontId="43" fillId="0" borderId="0" xfId="26" applyNumberFormat="1" applyFont="1" applyAlignment="1" applyProtection="1">
      <alignment horizontal="right"/>
      <protection locked="0"/>
    </xf>
    <xf numFmtId="0" fontId="43" fillId="0" borderId="0" xfId="26" applyFont="1" applyAlignment="1" applyProtection="1">
      <alignment horizontal="left" wrapText="1"/>
      <protection locked="0"/>
    </xf>
    <xf numFmtId="39" fontId="71" fillId="0" borderId="0" xfId="26" applyNumberFormat="1" applyFont="1" applyAlignment="1" applyProtection="1">
      <alignment horizontal="left" vertical="center"/>
      <protection locked="0"/>
    </xf>
    <xf numFmtId="0" fontId="82" fillId="0" borderId="0" xfId="26" applyFont="1" applyAlignment="1" applyProtection="1">
      <alignment horizontal="left" vertical="center"/>
      <protection locked="0"/>
    </xf>
    <xf numFmtId="0" fontId="44" fillId="0" borderId="0" xfId="26" applyFont="1" applyAlignment="1" applyProtection="1">
      <alignment horizontal="left" wrapText="1"/>
      <protection locked="0"/>
    </xf>
    <xf numFmtId="2" fontId="43" fillId="0" borderId="0" xfId="26" applyNumberFormat="1" applyFont="1" applyAlignment="1" applyProtection="1">
      <alignment horizontal="right"/>
      <protection locked="0"/>
    </xf>
    <xf numFmtId="39" fontId="43" fillId="0" borderId="0" xfId="26" applyNumberFormat="1" applyFont="1" applyAlignment="1" applyProtection="1">
      <alignment horizontal="right"/>
      <protection locked="0"/>
    </xf>
    <xf numFmtId="0" fontId="82" fillId="0" borderId="0" xfId="26" applyFont="1" applyAlignment="1" applyProtection="1">
      <alignment horizontal="right" vertical="center"/>
      <protection locked="0"/>
    </xf>
    <xf numFmtId="0" fontId="9" fillId="0" borderId="0" xfId="31" applyFont="1" applyAlignment="1" applyProtection="1">
      <alignment horizontal="left" vertical="center"/>
      <protection locked="0"/>
    </xf>
    <xf numFmtId="0" fontId="7" fillId="0" borderId="0" xfId="26" applyFont="1" applyAlignment="1" applyProtection="1">
      <alignment horizontal="left" vertical="top"/>
      <protection locked="0"/>
    </xf>
    <xf numFmtId="0" fontId="27" fillId="0" borderId="0" xfId="12" applyFont="1" applyAlignment="1">
      <alignment horizontal="left" vertical="top"/>
      <protection locked="0"/>
    </xf>
    <xf numFmtId="0" fontId="63" fillId="0" borderId="0" xfId="26" applyFont="1" applyAlignment="1" applyProtection="1">
      <alignment horizontal="left" vertical="center"/>
      <protection locked="0"/>
    </xf>
    <xf numFmtId="0" fontId="93" fillId="0" borderId="0" xfId="26" applyFont="1" applyAlignment="1" applyProtection="1">
      <alignment horizontal="left" vertical="center"/>
      <protection locked="0"/>
    </xf>
    <xf numFmtId="171" fontId="35" fillId="0" borderId="0" xfId="26" applyNumberFormat="1" applyAlignment="1" applyProtection="1">
      <alignment horizontal="left" vertical="top"/>
      <protection locked="0"/>
    </xf>
    <xf numFmtId="167" fontId="35" fillId="0" borderId="0" xfId="26" applyNumberFormat="1" applyAlignment="1" applyProtection="1">
      <alignment horizontal="left" vertical="top"/>
      <protection locked="0"/>
    </xf>
    <xf numFmtId="0" fontId="59" fillId="0" borderId="0" xfId="26" applyFont="1" applyAlignment="1" applyProtection="1">
      <alignment horizontal="left" vertical="center"/>
      <protection locked="0"/>
    </xf>
    <xf numFmtId="4" fontId="67" fillId="0" borderId="0" xfId="75" applyNumberFormat="1" applyFont="1" applyAlignment="1" applyProtection="1">
      <alignment horizontal="right" vertical="top"/>
      <protection locked="0"/>
    </xf>
    <xf numFmtId="0" fontId="13" fillId="0" borderId="0" xfId="26" applyFont="1" applyAlignment="1" applyProtection="1">
      <alignment horizontal="left" vertical="top"/>
      <protection locked="0"/>
    </xf>
    <xf numFmtId="0" fontId="95" fillId="0" borderId="0" xfId="26" applyFont="1" applyAlignment="1" applyProtection="1">
      <alignment horizontal="left" vertical="center"/>
      <protection locked="0"/>
    </xf>
    <xf numFmtId="0" fontId="81" fillId="0" borderId="0" xfId="26" applyFont="1" applyAlignment="1" applyProtection="1">
      <alignment horizontal="left" vertical="center"/>
      <protection locked="0"/>
    </xf>
    <xf numFmtId="0" fontId="91" fillId="0" borderId="0" xfId="26" applyFont="1" applyAlignment="1" applyProtection="1">
      <alignment horizontal="left" vertical="center"/>
      <protection locked="0"/>
    </xf>
    <xf numFmtId="4" fontId="59" fillId="0" borderId="0" xfId="26" applyNumberFormat="1" applyFont="1" applyAlignment="1" applyProtection="1">
      <alignment horizontal="left" vertical="top"/>
      <protection locked="0"/>
    </xf>
    <xf numFmtId="4" fontId="29" fillId="0" borderId="0" xfId="26" applyNumberFormat="1" applyFont="1" applyAlignment="1" applyProtection="1">
      <alignment horizontal="right" vertical="top"/>
      <protection locked="0"/>
    </xf>
    <xf numFmtId="0" fontId="59" fillId="0" borderId="0" xfId="35" applyFont="1" applyAlignment="1" applyProtection="1">
      <alignment vertical="top"/>
      <protection locked="0"/>
    </xf>
    <xf numFmtId="0" fontId="59" fillId="0" borderId="0" xfId="75" applyFont="1" applyAlignment="1" applyProtection="1">
      <alignment horizontal="left" vertical="center"/>
      <protection locked="0"/>
    </xf>
    <xf numFmtId="4" fontId="1" fillId="0" borderId="0" xfId="75" applyNumberFormat="1" applyFont="1" applyAlignment="1" applyProtection="1">
      <alignment horizontal="center" vertical="center"/>
      <protection locked="0"/>
    </xf>
    <xf numFmtId="39" fontId="5" fillId="0" borderId="24" xfId="75" applyNumberFormat="1" applyFont="1" applyBorder="1" applyAlignment="1" applyProtection="1">
      <alignment horizontal="center"/>
      <protection locked="0"/>
    </xf>
    <xf numFmtId="0" fontId="29" fillId="0" borderId="0" xfId="75" applyFont="1" applyAlignment="1" applyProtection="1">
      <alignment horizontal="left" vertical="center"/>
      <protection locked="0"/>
    </xf>
    <xf numFmtId="0" fontId="7" fillId="0" borderId="24" xfId="35" applyBorder="1" applyAlignment="1" applyProtection="1">
      <alignment horizontal="left" vertical="top"/>
      <protection locked="0"/>
    </xf>
    <xf numFmtId="4" fontId="67" fillId="0" borderId="0" xfId="26" applyNumberFormat="1" applyFont="1" applyAlignment="1" applyProtection="1">
      <alignment horizontal="right" vertical="top"/>
      <protection locked="0"/>
    </xf>
    <xf numFmtId="4" fontId="72" fillId="0" borderId="0" xfId="26" applyNumberFormat="1" applyFont="1" applyAlignment="1" applyProtection="1">
      <alignment horizontal="left" vertical="center"/>
      <protection locked="0"/>
    </xf>
    <xf numFmtId="0" fontId="8" fillId="0" borderId="0" xfId="12" applyAlignment="1">
      <alignment horizontal="left" vertical="center"/>
      <protection locked="0"/>
    </xf>
    <xf numFmtId="9" fontId="7" fillId="0" borderId="0" xfId="35" applyNumberFormat="1" applyAlignment="1" applyProtection="1">
      <alignment vertical="top"/>
      <protection locked="0"/>
    </xf>
    <xf numFmtId="2" fontId="25" fillId="0" borderId="0" xfId="35" applyNumberFormat="1" applyFont="1" applyAlignment="1" applyProtection="1">
      <alignment horizontal="right"/>
      <protection locked="0"/>
    </xf>
    <xf numFmtId="0" fontId="32" fillId="0" borderId="0" xfId="35" quotePrefix="1" applyFont="1" applyAlignment="1" applyProtection="1">
      <alignment vertical="center"/>
      <protection locked="0"/>
    </xf>
    <xf numFmtId="4" fontId="66" fillId="0" borderId="0" xfId="75" applyNumberFormat="1" applyFont="1" applyAlignment="1" applyProtection="1">
      <alignment horizontal="left" vertical="center"/>
      <protection locked="0"/>
    </xf>
    <xf numFmtId="0" fontId="32" fillId="0" borderId="0" xfId="35" applyFont="1" applyAlignment="1" applyProtection="1">
      <alignment vertical="center"/>
      <protection locked="0"/>
    </xf>
    <xf numFmtId="0" fontId="98" fillId="0" borderId="0" xfId="26" applyFont="1" applyAlignment="1" applyProtection="1">
      <alignment horizontal="left" vertical="center"/>
      <protection locked="0"/>
    </xf>
    <xf numFmtId="0" fontId="32" fillId="0" borderId="0" xfId="45" applyFont="1" applyAlignment="1" applyProtection="1">
      <alignment horizontal="left" vertical="center"/>
      <protection locked="0"/>
    </xf>
    <xf numFmtId="4" fontId="68" fillId="0" borderId="0" xfId="0" applyNumberFormat="1" applyFont="1" applyAlignment="1">
      <alignment horizontal="center" vertical="center"/>
      <protection locked="0"/>
    </xf>
    <xf numFmtId="4" fontId="72" fillId="0" borderId="0" xfId="0" applyNumberFormat="1" applyFont="1" applyAlignment="1">
      <alignment horizontal="center" vertical="center"/>
      <protection locked="0"/>
    </xf>
    <xf numFmtId="0" fontId="53" fillId="0" borderId="0" xfId="0" applyFont="1" applyAlignment="1">
      <alignment horizontal="left" vertical="top"/>
      <protection locked="0"/>
    </xf>
    <xf numFmtId="0" fontId="76" fillId="0" borderId="0" xfId="12" applyFont="1" applyAlignment="1">
      <alignment horizontal="center" vertical="center"/>
      <protection locked="0"/>
    </xf>
    <xf numFmtId="0" fontId="93" fillId="0" borderId="0" xfId="35" applyFont="1" applyAlignment="1" applyProtection="1">
      <alignment horizontal="left" vertical="center"/>
      <protection locked="0"/>
    </xf>
    <xf numFmtId="0" fontId="91" fillId="0" borderId="0" xfId="35" applyFont="1" applyAlignment="1" applyProtection="1">
      <alignment horizontal="left" vertical="center"/>
      <protection locked="0"/>
    </xf>
    <xf numFmtId="0" fontId="38" fillId="0" borderId="0" xfId="35" applyFont="1" applyAlignment="1" applyProtection="1">
      <alignment horizontal="left" vertical="center"/>
      <protection locked="0"/>
    </xf>
    <xf numFmtId="0" fontId="92" fillId="0" borderId="0" xfId="35" applyFont="1" applyAlignment="1" applyProtection="1">
      <alignment horizontal="left" vertical="center"/>
      <protection locked="0"/>
    </xf>
    <xf numFmtId="0" fontId="80" fillId="0" borderId="0" xfId="35" applyFont="1" applyAlignment="1" applyProtection="1">
      <alignment horizontal="left" vertical="center"/>
      <protection locked="0"/>
    </xf>
    <xf numFmtId="0" fontId="71" fillId="0" borderId="0" xfId="12" applyFont="1" applyAlignment="1">
      <alignment horizontal="left" vertical="top"/>
      <protection locked="0"/>
    </xf>
    <xf numFmtId="0" fontId="8" fillId="0" borderId="0" xfId="22" applyAlignment="1">
      <alignment horizontal="left" vertical="center"/>
      <protection locked="0"/>
    </xf>
    <xf numFmtId="0" fontId="93" fillId="0" borderId="0" xfId="35" applyFont="1" applyAlignment="1" applyProtection="1">
      <alignment horizontal="left" vertical="top"/>
      <protection locked="0"/>
    </xf>
    <xf numFmtId="0" fontId="59" fillId="0" borderId="0" xfId="26" applyFont="1" applyAlignment="1" applyProtection="1">
      <alignment horizontal="left" vertical="top"/>
      <protection locked="0"/>
    </xf>
    <xf numFmtId="166" fontId="67" fillId="0" borderId="0" xfId="26" applyNumberFormat="1" applyFont="1" applyAlignment="1" applyProtection="1">
      <alignment horizontal="right" vertical="top"/>
      <protection locked="0"/>
    </xf>
    <xf numFmtId="0" fontId="65" fillId="0" borderId="0" xfId="57" applyFont="1" applyAlignment="1">
      <alignment horizontal="left" vertical="center"/>
      <protection locked="0"/>
    </xf>
    <xf numFmtId="166" fontId="67" fillId="0" borderId="0" xfId="57" applyNumberFormat="1" applyFont="1" applyAlignment="1">
      <alignment horizontal="left" vertical="top"/>
      <protection locked="0"/>
    </xf>
    <xf numFmtId="4" fontId="35" fillId="0" borderId="0" xfId="57" applyNumberFormat="1" applyFont="1" applyAlignment="1">
      <alignment horizontal="left" vertical="top"/>
      <protection locked="0"/>
    </xf>
    <xf numFmtId="166" fontId="67" fillId="0" borderId="0" xfId="57" applyNumberFormat="1" applyFont="1" applyAlignment="1">
      <alignment horizontal="right" vertical="top"/>
      <protection locked="0"/>
    </xf>
    <xf numFmtId="166" fontId="35" fillId="0" borderId="0" xfId="57" applyNumberFormat="1" applyFont="1" applyAlignment="1">
      <alignment horizontal="left" vertical="top"/>
      <protection locked="0"/>
    </xf>
    <xf numFmtId="0" fontId="38" fillId="0" borderId="0" xfId="26" applyFont="1" applyAlignment="1" applyProtection="1">
      <alignment horizontal="left" vertical="center"/>
      <protection locked="0"/>
    </xf>
    <xf numFmtId="4" fontId="68" fillId="0" borderId="0" xfId="77" applyNumberFormat="1" applyFont="1" applyAlignment="1" applyProtection="1">
      <alignment horizontal="center" vertical="center"/>
      <protection locked="0"/>
    </xf>
    <xf numFmtId="0" fontId="54" fillId="0" borderId="0" xfId="77" applyFont="1" applyAlignment="1" applyProtection="1">
      <alignment horizontal="left" vertical="top"/>
      <protection locked="0"/>
    </xf>
    <xf numFmtId="0" fontId="29" fillId="0" borderId="0" xfId="77" applyFont="1" applyAlignment="1" applyProtection="1">
      <alignment horizontal="left" vertical="center"/>
      <protection locked="0"/>
    </xf>
    <xf numFmtId="0" fontId="39" fillId="0" borderId="0" xfId="35" applyFont="1" applyAlignment="1" applyProtection="1">
      <alignment horizontal="left" vertical="center"/>
      <protection locked="0"/>
    </xf>
    <xf numFmtId="0" fontId="96" fillId="0" borderId="0" xfId="22" applyFont="1" applyAlignment="1">
      <alignment horizontal="left" vertical="center"/>
      <protection locked="0"/>
    </xf>
    <xf numFmtId="0" fontId="5" fillId="0" borderId="0" xfId="22" applyFont="1" applyAlignment="1">
      <alignment horizontal="left" vertical="top"/>
      <protection locked="0"/>
    </xf>
    <xf numFmtId="0" fontId="42" fillId="0" borderId="0" xfId="26" applyFont="1" applyAlignment="1" applyProtection="1">
      <alignment horizontal="left" vertical="top"/>
      <protection locked="0"/>
    </xf>
    <xf numFmtId="0" fontId="7" fillId="0" borderId="0" xfId="26" applyFont="1" applyAlignment="1" applyProtection="1">
      <alignment vertical="top"/>
      <protection locked="0"/>
    </xf>
    <xf numFmtId="0" fontId="33" fillId="0" borderId="0" xfId="26" applyFont="1" applyAlignment="1" applyProtection="1">
      <alignment vertical="center"/>
      <protection locked="0"/>
    </xf>
    <xf numFmtId="2" fontId="35" fillId="0" borderId="0" xfId="26" applyNumberFormat="1" applyAlignment="1" applyProtection="1">
      <alignment horizontal="left" vertical="top"/>
      <protection locked="0"/>
    </xf>
    <xf numFmtId="0" fontId="97" fillId="0" borderId="0" xfId="26" applyFont="1" applyAlignment="1" applyProtection="1">
      <alignment horizontal="right" vertical="top"/>
      <protection locked="0"/>
    </xf>
    <xf numFmtId="0" fontId="29" fillId="0" borderId="0" xfId="26" applyFont="1" applyAlignment="1" applyProtection="1">
      <alignment horizontal="left" vertical="top"/>
      <protection locked="0"/>
    </xf>
    <xf numFmtId="0" fontId="52" fillId="0" borderId="0" xfId="26" applyFont="1" applyAlignment="1" applyProtection="1">
      <alignment horizontal="left" vertical="center"/>
      <protection locked="0"/>
    </xf>
    <xf numFmtId="0" fontId="52" fillId="0" borderId="0" xfId="26" applyFont="1" applyAlignment="1" applyProtection="1">
      <alignment horizontal="left" vertical="top"/>
      <protection locked="0"/>
    </xf>
    <xf numFmtId="0" fontId="0" fillId="0" borderId="0" xfId="57" applyFont="1" applyAlignment="1">
      <alignment horizontal="left" vertical="top"/>
      <protection locked="0"/>
    </xf>
    <xf numFmtId="0" fontId="39" fillId="0" borderId="0" xfId="26" applyFont="1" applyAlignment="1" applyProtection="1">
      <alignment horizontal="left" vertical="center"/>
      <protection locked="0"/>
    </xf>
    <xf numFmtId="0" fontId="55" fillId="0" borderId="0" xfId="26" applyFont="1" applyAlignment="1" applyProtection="1">
      <alignment horizontal="left" vertical="center"/>
      <protection locked="0"/>
    </xf>
    <xf numFmtId="4" fontId="35" fillId="0" borderId="0" xfId="26" applyNumberFormat="1" applyAlignment="1" applyProtection="1">
      <alignment horizontal="left" vertical="top"/>
      <protection locked="0"/>
    </xf>
    <xf numFmtId="0" fontId="66" fillId="0" borderId="0" xfId="26" applyFont="1" applyAlignment="1" applyProtection="1">
      <alignment horizontal="left" vertical="center"/>
      <protection locked="0"/>
    </xf>
    <xf numFmtId="0" fontId="61" fillId="0" borderId="0" xfId="77" applyFont="1" applyAlignment="1" applyProtection="1">
      <alignment horizontal="left" vertical="center"/>
      <protection locked="0"/>
    </xf>
    <xf numFmtId="0" fontId="35" fillId="0" borderId="0" xfId="77" applyAlignment="1" applyProtection="1">
      <alignment horizontal="right" vertical="top"/>
      <protection locked="0"/>
    </xf>
    <xf numFmtId="169" fontId="35" fillId="0" borderId="0" xfId="26" applyNumberFormat="1"/>
    <xf numFmtId="0" fontId="5" fillId="0" borderId="0" xfId="31" applyFont="1" applyAlignment="1" applyProtection="1">
      <alignment horizontal="left" wrapText="1"/>
      <protection locked="0"/>
    </xf>
    <xf numFmtId="0" fontId="76" fillId="0" borderId="0" xfId="77" applyFont="1" applyAlignment="1" applyProtection="1">
      <alignment horizontal="center" vertical="center"/>
      <protection locked="0"/>
    </xf>
    <xf numFmtId="170" fontId="55" fillId="0" borderId="0" xfId="77" applyNumberFormat="1" applyFont="1" applyAlignment="1" applyProtection="1">
      <alignment horizontal="center" vertical="center"/>
      <protection locked="0"/>
    </xf>
    <xf numFmtId="4" fontId="76" fillId="0" borderId="0" xfId="77" applyNumberFormat="1" applyFont="1" applyAlignment="1" applyProtection="1">
      <alignment horizontal="center" vertical="center"/>
      <protection locked="0"/>
    </xf>
    <xf numFmtId="4" fontId="72" fillId="0" borderId="0" xfId="77" applyNumberFormat="1" applyFont="1" applyAlignment="1" applyProtection="1">
      <alignment horizontal="center" vertical="center"/>
      <protection locked="0"/>
    </xf>
    <xf numFmtId="0" fontId="35" fillId="0" borderId="24" xfId="77" applyBorder="1" applyAlignment="1" applyProtection="1">
      <alignment vertical="top"/>
      <protection locked="0"/>
    </xf>
    <xf numFmtId="0" fontId="47" fillId="0" borderId="24" xfId="81" applyBorder="1" applyAlignment="1" applyProtection="1">
      <alignment horizontal="left" vertical="top"/>
      <protection locked="0"/>
    </xf>
    <xf numFmtId="4" fontId="68" fillId="0" borderId="0" xfId="77" applyNumberFormat="1" applyFont="1" applyAlignment="1" applyProtection="1">
      <alignment horizontal="left" vertical="center"/>
      <protection locked="0"/>
    </xf>
    <xf numFmtId="0" fontId="35" fillId="0" borderId="24" xfId="77" applyBorder="1" applyAlignment="1" applyProtection="1">
      <alignment horizontal="left" vertical="top"/>
      <protection locked="0"/>
    </xf>
    <xf numFmtId="0" fontId="40" fillId="0" borderId="0" xfId="77" applyFont="1" applyAlignment="1" applyProtection="1">
      <alignment horizontal="left" vertical="top"/>
      <protection locked="0"/>
    </xf>
    <xf numFmtId="0" fontId="88" fillId="0" borderId="0" xfId="77" applyFont="1" applyAlignment="1" applyProtection="1">
      <alignment horizontal="left" vertical="center"/>
      <protection locked="0"/>
    </xf>
    <xf numFmtId="0" fontId="58" fillId="0" borderId="0" xfId="77" applyFont="1" applyAlignment="1" applyProtection="1">
      <alignment horizontal="left" vertical="top"/>
      <protection locked="0"/>
    </xf>
    <xf numFmtId="4" fontId="3" fillId="0" borderId="0" xfId="75" applyNumberFormat="1" applyFont="1" applyAlignment="1" applyProtection="1">
      <alignment horizontal="left" vertical="center"/>
      <protection locked="0"/>
    </xf>
    <xf numFmtId="39" fontId="5" fillId="0" borderId="24" xfId="84" applyNumberFormat="1" applyFont="1" applyBorder="1" applyAlignment="1" applyProtection="1">
      <alignment horizontal="center"/>
      <protection locked="0"/>
    </xf>
    <xf numFmtId="0" fontId="35" fillId="0" borderId="24" xfId="26" applyBorder="1" applyAlignment="1" applyProtection="1">
      <alignment vertical="top"/>
      <protection locked="0"/>
    </xf>
    <xf numFmtId="0" fontId="65" fillId="0" borderId="0" xfId="26" applyFont="1" applyAlignment="1" applyProtection="1">
      <alignment horizontal="left" vertical="center"/>
      <protection locked="0"/>
    </xf>
    <xf numFmtId="39" fontId="5" fillId="0" borderId="24" xfId="12" applyNumberFormat="1" applyFont="1" applyBorder="1" applyAlignment="1">
      <alignment horizontal="center"/>
      <protection locked="0"/>
    </xf>
    <xf numFmtId="0" fontId="8" fillId="0" borderId="0" xfId="64" applyAlignment="1">
      <alignment horizontal="left" vertical="center"/>
      <protection locked="0"/>
    </xf>
    <xf numFmtId="49" fontId="68" fillId="0" borderId="0" xfId="26" applyNumberFormat="1" applyFont="1" applyAlignment="1" applyProtection="1">
      <alignment horizontal="center" vertical="center"/>
      <protection locked="0"/>
    </xf>
    <xf numFmtId="0" fontId="63" fillId="0" borderId="0" xfId="64" applyFont="1" applyAlignment="1">
      <alignment horizontal="right" vertical="center"/>
      <protection locked="0"/>
    </xf>
    <xf numFmtId="4" fontId="73" fillId="0" borderId="0" xfId="76" applyNumberFormat="1" applyFont="1" applyAlignment="1">
      <alignment horizontal="center" vertical="center"/>
      <protection locked="0"/>
    </xf>
    <xf numFmtId="0" fontId="80" fillId="0" borderId="0" xfId="26" applyFont="1" applyAlignment="1" applyProtection="1">
      <alignment horizontal="left" vertical="center"/>
      <protection locked="0"/>
    </xf>
    <xf numFmtId="0" fontId="9" fillId="0" borderId="0" xfId="31" applyFont="1" applyAlignment="1" applyProtection="1">
      <alignment vertical="center"/>
      <protection locked="0"/>
    </xf>
    <xf numFmtId="0" fontId="15" fillId="0" borderId="15" xfId="8" applyFont="1" applyBorder="1" applyAlignment="1">
      <alignment horizontal="left" wrapText="1"/>
    </xf>
    <xf numFmtId="0" fontId="7" fillId="0" borderId="15" xfId="8" applyBorder="1" applyAlignment="1">
      <alignment wrapText="1"/>
    </xf>
    <xf numFmtId="0" fontId="15" fillId="5" borderId="15" xfId="8" applyFont="1" applyFill="1" applyBorder="1" applyAlignment="1">
      <alignment horizontal="left" wrapText="1"/>
    </xf>
    <xf numFmtId="0" fontId="7" fillId="5" borderId="15" xfId="8" applyFill="1" applyBorder="1" applyAlignment="1">
      <alignment wrapText="1"/>
    </xf>
    <xf numFmtId="0" fontId="10" fillId="0" borderId="0" xfId="8" applyFont="1" applyAlignment="1">
      <alignment horizontal="center"/>
    </xf>
    <xf numFmtId="0" fontId="7" fillId="0" borderId="0" xfId="8" applyAlignment="1">
      <alignment horizontal="center"/>
    </xf>
    <xf numFmtId="0" fontId="9" fillId="0" borderId="0" xfId="8" applyFont="1" applyAlignment="1">
      <alignment horizontal="center"/>
    </xf>
    <xf numFmtId="0" fontId="12" fillId="0" borderId="0" xfId="8" applyFont="1" applyAlignment="1">
      <alignment horizontal="left" vertical="center" wrapText="1"/>
    </xf>
    <xf numFmtId="0" fontId="13" fillId="0" borderId="0" xfId="8" applyFont="1" applyAlignment="1">
      <alignment horizontal="left" vertical="center" wrapText="1"/>
    </xf>
    <xf numFmtId="0" fontId="7" fillId="0" borderId="0" xfId="8" applyAlignment="1">
      <alignment horizontal="left" vertical="center" wrapText="1"/>
    </xf>
    <xf numFmtId="0" fontId="15" fillId="0" borderId="15" xfId="8" applyFont="1" applyBorder="1" applyAlignment="1">
      <alignment horizontal="left"/>
    </xf>
    <xf numFmtId="0" fontId="7" fillId="0" borderId="15" xfId="8" applyBorder="1"/>
    <xf numFmtId="0" fontId="9" fillId="0" borderId="0" xfId="8" applyFont="1" applyAlignment="1">
      <alignment horizontal="left" vertical="top" wrapText="1"/>
    </xf>
    <xf numFmtId="0" fontId="0" fillId="0" borderId="0" xfId="0" applyAlignment="1">
      <alignment vertical="top" wrapText="1"/>
      <protection locked="0"/>
    </xf>
    <xf numFmtId="0" fontId="22" fillId="0" borderId="0" xfId="8" applyFont="1" applyAlignment="1">
      <alignment horizontal="justify" wrapText="1"/>
    </xf>
    <xf numFmtId="0" fontId="5" fillId="0" borderId="0" xfId="8" applyFont="1" applyAlignment="1">
      <alignment wrapText="1"/>
    </xf>
    <xf numFmtId="0" fontId="5" fillId="0" borderId="0" xfId="8" applyFont="1"/>
    <xf numFmtId="0" fontId="6" fillId="0" borderId="0" xfId="8" applyFont="1" applyAlignment="1">
      <alignment horizontal="justify" wrapText="1"/>
    </xf>
    <xf numFmtId="0" fontId="6" fillId="0" borderId="0" xfId="8" applyFont="1" applyAlignment="1">
      <alignment wrapText="1"/>
    </xf>
    <xf numFmtId="0" fontId="7" fillId="0" borderId="0" xfId="8" applyAlignment="1">
      <alignment wrapText="1"/>
    </xf>
    <xf numFmtId="0" fontId="6" fillId="0" borderId="0" xfId="8" applyFont="1" applyAlignment="1">
      <alignment horizontal="left" vertical="center" wrapText="1"/>
    </xf>
    <xf numFmtId="0" fontId="6" fillId="0" borderId="0" xfId="21" applyFont="1" applyAlignment="1">
      <alignment vertical="center" wrapText="1"/>
    </xf>
    <xf numFmtId="0" fontId="8" fillId="0" borderId="0" xfId="26" applyFont="1" applyAlignment="1" applyProtection="1">
      <alignment vertical="center" wrapText="1"/>
      <protection locked="0"/>
    </xf>
    <xf numFmtId="0" fontId="22" fillId="0" borderId="0" xfId="21" applyFont="1" applyAlignment="1">
      <alignment horizontal="left" vertical="center" wrapText="1"/>
    </xf>
    <xf numFmtId="0" fontId="23" fillId="0" borderId="0" xfId="24" applyFont="1" applyAlignment="1" applyProtection="1">
      <alignment horizontal="left" wrapText="1"/>
    </xf>
    <xf numFmtId="0" fontId="3" fillId="0" borderId="0" xfId="73" applyAlignment="1">
      <alignment horizontal="left" wrapText="1"/>
    </xf>
    <xf numFmtId="37" fontId="23" fillId="0" borderId="19" xfId="26" applyNumberFormat="1" applyFont="1" applyBorder="1" applyAlignment="1" applyProtection="1">
      <alignment horizontal="center"/>
      <protection locked="0"/>
    </xf>
    <xf numFmtId="0" fontId="77" fillId="0" borderId="21" xfId="26" applyFont="1" applyBorder="1" applyAlignment="1" applyProtection="1">
      <alignment horizontal="center"/>
      <protection locked="0"/>
    </xf>
    <xf numFmtId="0" fontId="77" fillId="0" borderId="22" xfId="26" applyFont="1" applyBorder="1" applyAlignment="1" applyProtection="1">
      <alignment horizontal="center"/>
      <protection locked="0"/>
    </xf>
    <xf numFmtId="0" fontId="35" fillId="0" borderId="0" xfId="26" applyAlignment="1" applyProtection="1">
      <alignment vertical="center" wrapText="1"/>
      <protection locked="0"/>
    </xf>
    <xf numFmtId="0" fontId="8" fillId="0" borderId="0" xfId="64" applyAlignment="1">
      <alignment vertical="center" wrapText="1"/>
      <protection locked="0"/>
    </xf>
    <xf numFmtId="0" fontId="41" fillId="0" borderId="0" xfId="86" applyFont="1" applyAlignment="1" applyProtection="1">
      <alignment horizontal="center" vertical="center" wrapText="1"/>
    </xf>
    <xf numFmtId="0" fontId="9" fillId="0" borderId="0" xfId="86" applyAlignment="1">
      <alignment horizontal="center" vertical="center" wrapText="1"/>
      <protection locked="0"/>
    </xf>
    <xf numFmtId="0" fontId="109" fillId="0" borderId="0" xfId="87" applyFont="1" applyAlignment="1" applyProtection="1">
      <alignment horizontal="center" vertical="center" wrapText="1"/>
    </xf>
  </cellXfs>
  <cellStyles count="88">
    <cellStyle name="Hypertextový odkaz 2" xfId="46" xr:uid="{99D2452F-2ECA-4466-B484-DA0F007933CA}"/>
    <cellStyle name="Hypertextový odkaz 2 2" xfId="47" xr:uid="{97F3447B-C282-4642-88A6-46DF4DAD3BD0}"/>
    <cellStyle name="Hypertextový odkaz 2 2 2" xfId="74" xr:uid="{851CEE5D-21F1-4D73-A996-09E621D1D135}"/>
    <cellStyle name="Hypertextový odkaz 3" xfId="50" xr:uid="{512B6221-DEB4-4A7F-B740-46392B82AA90}"/>
    <cellStyle name="Hypertextový odkaz 3 2" xfId="61" xr:uid="{9733ECB9-9F96-4FA5-990B-1FED5CD45991}"/>
    <cellStyle name="Hypertextový odkaz 4" xfId="39" xr:uid="{33FD5219-03CC-448F-9CB6-7236E1D7FF1B}"/>
    <cellStyle name="Hypertextový odkaz 4 2" xfId="78" xr:uid="{E112B9F3-71BB-4D82-BEB3-CB0F861CA37E}"/>
    <cellStyle name="Hypertextový odkaz 5" xfId="55" xr:uid="{A4D0E5B7-80D6-415F-A67B-8923A0CC0127}"/>
    <cellStyle name="Hypertextový odkaz 6" xfId="58" xr:uid="{DCE6A13B-413C-47C9-8464-45ACBD10ECA7}"/>
    <cellStyle name="Normal_Power Voltage Bill 08.06" xfId="1" xr:uid="{00000000-0005-0000-0000-000000000000}"/>
    <cellStyle name="Normale_Complete_official_price_list_2007CZ" xfId="2" xr:uid="{00000000-0005-0000-0000-000001000000}"/>
    <cellStyle name="Normální" xfId="0" builtinId="0"/>
    <cellStyle name="Normální 10" xfId="3" xr:uid="{00000000-0005-0000-0000-000003000000}"/>
    <cellStyle name="Normální 11" xfId="4" xr:uid="{00000000-0005-0000-0000-000004000000}"/>
    <cellStyle name="normální 11 2" xfId="33" xr:uid="{A7E3D65F-680B-4424-8745-3FD7E63F49E9}"/>
    <cellStyle name="normální 11 2 2" xfId="54" xr:uid="{456B659B-8F10-4BB9-992C-C3629CF6FF04}"/>
    <cellStyle name="Normální 11 3" xfId="53" xr:uid="{88F757A9-8681-4F45-B6C4-1D0D616147DC}"/>
    <cellStyle name="Normální 11 3 2" xfId="65" xr:uid="{B68DE5F4-789C-4CF2-995F-CC40CD9B2B65}"/>
    <cellStyle name="Normální 11 4" xfId="56" xr:uid="{D8F78ACA-BA91-4D08-A93B-6D784AFBD959}"/>
    <cellStyle name="Normální 11 5" xfId="36" xr:uid="{CD92BD01-5927-49EC-86FD-C0DE2BB3B080}"/>
    <cellStyle name="Normální 11 6" xfId="63" xr:uid="{785D9CD2-8B26-4013-B4FB-F0B5A8C89BA1}"/>
    <cellStyle name="normální 11 7" xfId="72" xr:uid="{04FBED22-D4BA-44D7-A8F2-711575455690}"/>
    <cellStyle name="Normální 11 8" xfId="76" xr:uid="{84F35974-61C9-42E6-9DFD-D6F6FF1F5B1A}"/>
    <cellStyle name="Normální 12" xfId="23" xr:uid="{AB18651F-B386-4F5B-8FC5-71A4800C2987}"/>
    <cellStyle name="Normální 12 2" xfId="28" xr:uid="{520F8BF6-3049-47B0-9B92-E74034800979}"/>
    <cellStyle name="Normální 12 2 2 3" xfId="35" xr:uid="{E49555E6-7B6B-4142-B3D3-C0E30D37D935}"/>
    <cellStyle name="Normální 12 2 4" xfId="41" xr:uid="{2E9DAE77-9FA0-4DB0-84B9-5D1C196C5EE6}"/>
    <cellStyle name="Normální 12 2 4 2" xfId="83" xr:uid="{7EB3880E-F7AA-4E38-92B1-6E81896FF9C4}"/>
    <cellStyle name="Normální 12 3" xfId="82" xr:uid="{BEA47EAE-3919-4FCB-A793-9243ED26FA1A}"/>
    <cellStyle name="Normální 13" xfId="31" xr:uid="{877EB960-A4D3-463D-8BAC-8D18556AA239}"/>
    <cellStyle name="normální 13 2" xfId="59" xr:uid="{A36CA27B-DB73-4EC2-B370-A334A1FD7663}"/>
    <cellStyle name="Normální 13 2 2" xfId="84" xr:uid="{F75B184B-3905-4B1E-8E45-B7FFA952FE89}"/>
    <cellStyle name="normální 14" xfId="29" xr:uid="{11EDDB97-6835-4CFF-868C-1781A403E537}"/>
    <cellStyle name="normální 14 2" xfId="48" xr:uid="{6950F193-6D37-4699-802A-5321716854EC}"/>
    <cellStyle name="normální 14 3" xfId="60" xr:uid="{6832347B-A317-4016-A14B-736B9DC37B30}"/>
    <cellStyle name="Normální 14 3 2" xfId="69" xr:uid="{856985BF-73B9-4948-BC0E-0B32208A4C4E}"/>
    <cellStyle name="Normální 16" xfId="77" xr:uid="{823FACB1-6E1A-483A-9F51-A4F81998865B}"/>
    <cellStyle name="Normální 17" xfId="87" xr:uid="{0CF27DF4-1184-482B-907A-FD1072F817C3}"/>
    <cellStyle name="normální 19" xfId="42" xr:uid="{3F6A064D-65BC-4CB9-8FA3-B6AD84760412}"/>
    <cellStyle name="Normální 2" xfId="5" xr:uid="{00000000-0005-0000-0000-000005000000}"/>
    <cellStyle name="normální 2 2" xfId="6" xr:uid="{00000000-0005-0000-0000-000006000000}"/>
    <cellStyle name="normální 2 2 2" xfId="32" xr:uid="{EB596C58-3519-49B3-BA85-C4451DA51EF1}"/>
    <cellStyle name="normální 2 2 2 2" xfId="34" xr:uid="{5A986791-D1B4-4255-BA93-2CB53A1B5F12}"/>
    <cellStyle name="Normální 2 2 3" xfId="64" xr:uid="{8A89C08A-A06B-4FA4-9F8F-C005755F244A}"/>
    <cellStyle name="normální 2 2 3 2" xfId="80" xr:uid="{74B87334-2379-4AE7-949C-7FCD7E253F14}"/>
    <cellStyle name="Normální 2 3" xfId="22" xr:uid="{615B5431-BBA2-4D0E-8DEF-800069C5FE3F}"/>
    <cellStyle name="Normální 2 3 3" xfId="24" xr:uid="{0DCAA118-32B3-4A66-97EB-7922A31F1FA0}"/>
    <cellStyle name="normální 2 4" xfId="86" xr:uid="{DA745B4E-28B5-4EA9-B968-5E4A629174BB}"/>
    <cellStyle name="Normální 3" xfId="7" xr:uid="{00000000-0005-0000-0000-000007000000}"/>
    <cellStyle name="Normální 3 2" xfId="8" xr:uid="{00000000-0005-0000-0000-000008000000}"/>
    <cellStyle name="Normální 3 3" xfId="66" xr:uid="{D00BA48D-0E37-4FF2-8D8E-653D20B5B2AC}"/>
    <cellStyle name="Normální 3 3 2" xfId="70" xr:uid="{81B2732F-62DC-44FF-8466-4529F6328788}"/>
    <cellStyle name="Normální 3 3 2 2" xfId="26" xr:uid="{A575779E-0D96-4C35-BBB4-63E3AA4EA419}"/>
    <cellStyle name="Normální 3 3 3" xfId="27" xr:uid="{A9989B69-91B0-4B6F-8635-69F76FBF1BFF}"/>
    <cellStyle name="Normální 4" xfId="9" xr:uid="{00000000-0005-0000-0000-000009000000}"/>
    <cellStyle name="Normální 4 2" xfId="51" xr:uid="{24A35949-4CF6-4992-83EE-EFEA84F9D624}"/>
    <cellStyle name="Normální 4 2 2" xfId="71" xr:uid="{D9BB2132-A9DD-40F9-B062-CF5F988061B0}"/>
    <cellStyle name="Normální 4 3" xfId="67" xr:uid="{963559EA-C10D-48A2-865E-C43D0DCD0C72}"/>
    <cellStyle name="Normální 5" xfId="10" xr:uid="{00000000-0005-0000-0000-00000A000000}"/>
    <cellStyle name="Normální 5 2" xfId="49" xr:uid="{D42DC9DD-7044-48F9-A88E-A637985BE39F}"/>
    <cellStyle name="Normální 6" xfId="11" xr:uid="{00000000-0005-0000-0000-00000B000000}"/>
    <cellStyle name="Normální 7" xfId="12" xr:uid="{00000000-0005-0000-0000-00000C000000}"/>
    <cellStyle name="Normální 8" xfId="13" xr:uid="{00000000-0005-0000-0000-00000D000000}"/>
    <cellStyle name="Normální 8 2" xfId="14" xr:uid="{00000000-0005-0000-0000-00000E000000}"/>
    <cellStyle name="Normální 8 2 2" xfId="20" xr:uid="{00000000-0005-0000-0000-00000F000000}"/>
    <cellStyle name="Normální 8 4" xfId="43" xr:uid="{222023CD-8E8F-42B3-B044-DA20537F7A82}"/>
    <cellStyle name="Normální 9" xfId="15" xr:uid="{00000000-0005-0000-0000-000010000000}"/>
    <cellStyle name="normální 9 2" xfId="40" xr:uid="{5E058E65-2067-404D-8117-79FF234DA9EE}"/>
    <cellStyle name="Normální 9 2 2" xfId="30" xr:uid="{734C1817-C569-4449-A19D-EEC7A3A501AC}"/>
    <cellStyle name="Normální 9 2 2 2" xfId="62" xr:uid="{381579B3-757B-4671-BD24-B8C80245BFF7}"/>
    <cellStyle name="normální 9 2 3" xfId="52" xr:uid="{10A09504-16EA-4069-BE09-B3F8DF7750A7}"/>
    <cellStyle name="Normální 9 2 4" xfId="25" xr:uid="{EEE12EA8-0BF8-4F34-890E-66B971726AD7}"/>
    <cellStyle name="Normální 9 2 4 2" xfId="73" xr:uid="{7F772023-8B8F-4627-8B21-33F0F4469830}"/>
    <cellStyle name="Normální 9 2 4 3" xfId="79" xr:uid="{AD7170A4-6F7C-4191-A9E3-69C2F638B31C}"/>
    <cellStyle name="normální 9 2 5" xfId="38" xr:uid="{EDF6610E-0DF2-4CBC-B05D-9D009AA1C8C4}"/>
    <cellStyle name="Normální 9 3" xfId="81" xr:uid="{CE187C50-1256-4F79-834D-60934C540A40}"/>
    <cellStyle name="Normální 9 3 2" xfId="37" xr:uid="{97C76D7B-9075-428F-ABCE-58F999F8A516}"/>
    <cellStyle name="normální 9 4" xfId="57" xr:uid="{37E1EB9E-1A29-4ECF-ADB0-8C427AD03DC5}"/>
    <cellStyle name="normální 9 4 2" xfId="85" xr:uid="{2EFE8D8F-8FB8-4779-879B-6344639FFF6B}"/>
    <cellStyle name="normální 9 5" xfId="44" xr:uid="{04FC9C72-E461-4A18-B2F4-BD87AE3C6088}"/>
    <cellStyle name="Normální 9 6" xfId="45" xr:uid="{C51C2A6D-055E-46A9-B9AB-45A7CEBD941B}"/>
    <cellStyle name="Normální 9 6 2" xfId="68" xr:uid="{C4D29BA4-157E-4B69-BB57-C7025E1D4821}"/>
    <cellStyle name="Normální 9 8" xfId="75" xr:uid="{4467399F-C15D-4CBC-8954-0FA91276658E}"/>
    <cellStyle name="normální_POL.XLS 2" xfId="21" xr:uid="{00000000-0005-0000-0000-000011000000}"/>
    <cellStyle name="normální_POL.XLS 3" xfId="16" xr:uid="{00000000-0005-0000-0000-000012000000}"/>
    <cellStyle name="Styl 1" xfId="17" xr:uid="{00000000-0005-0000-0000-000014000000}"/>
    <cellStyle name="Währung" xfId="18" xr:uid="{00000000-0005-0000-0000-000015000000}"/>
    <cellStyle name="標準_IPS alpha BOQ ME forms detail_Mechanical_El." xfId="19" xr:uid="{00000000-0005-0000-0000-000016000000}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449%20Mesto%20Bilovec\01%20Nastavba%20domu%20c.488\4%20-%20PD\7%20-%20DPS\ROZPOCET\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407%20Transformace%20DOZP%20Hlinany\01%20Rekonstrukce%20Teplice\4%20-%20VD\4%20-%20DSP\Rozpocet\TO-407-01%20-%20DSP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07%20Transformace%20DOZP%20Hlinany\01%20Rekonstrukce%20Teplice\4%20-%20VD\4%20-%20DSP\Rozpocet\TO-407-01%20-%20DSP-rozpoce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380-01%20Hotel%20CLARION%20Ostrava\3b_DPS\PD%20-%20Rozpocet\000-Kryc&#237;%20lis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616%20Revitalizace%20depozitare%20Pouchov\4%20-%20PD\3a%20-%20DUR+DSP%20archiv\ROZPOCET\OCENENY%20SOUPIS%20PRACI\VZORY\TO%20-%20498%20DUR+DSP%20-%20SOUHRN%20-%20B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ODKAZ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001-B.1. Priprava uzemi"/>
      <sheetName val="002-A.1. Archstav  reseni"/>
      <sheetName val="002-A.2.1. Zakladani"/>
      <sheetName val="002-A.2.2. Zelbet konstrukce"/>
      <sheetName val="002-A.2.3.OK"/>
      <sheetName val="002-A.3.1. Vytapeni"/>
      <sheetName val="002-A.3.2. Chlad"/>
      <sheetName val="002-A.3.5. ZTI"/>
      <sheetName val="002-A.3.11.1. SADOVE UPRAVY"/>
      <sheetName val="003-B.1. KOMUNIK"/>
      <sheetName val="003-B.2. KANALIZ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RN"/>
    </sheetNames>
    <sheetDataSet>
      <sheetData sheetId="0">
        <row r="42">
          <cell r="G42">
            <v>7679000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E0B77-4E3F-4DD4-8724-61284FF5F3C1}">
  <sheetPr>
    <pageSetUpPr fitToPage="1"/>
  </sheetPr>
  <dimension ref="A1:O52"/>
  <sheetViews>
    <sheetView showGridLines="0" topLeftCell="B34" zoomScaleNormal="100" zoomScaleSheetLayoutView="75" workbookViewId="0">
      <selection activeCell="B1" sqref="B1"/>
    </sheetView>
  </sheetViews>
  <sheetFormatPr defaultColWidth="9.28515625" defaultRowHeight="13.2"/>
  <cols>
    <col min="1" max="1" width="0.7109375" style="1" hidden="1" customWidth="1"/>
    <col min="2" max="2" width="8.28515625" style="1" customWidth="1"/>
    <col min="3" max="3" width="21.85546875" style="1" customWidth="1"/>
    <col min="4" max="4" width="23" style="1" customWidth="1"/>
    <col min="5" max="5" width="19.7109375" style="1" customWidth="1"/>
    <col min="6" max="6" width="15.28515625" style="1" customWidth="1"/>
    <col min="7" max="7" width="19.140625" style="1" customWidth="1"/>
    <col min="8" max="8" width="19.42578125" style="1" customWidth="1"/>
    <col min="9" max="9" width="19.85546875" style="1" customWidth="1"/>
    <col min="10" max="10" width="43" style="1" customWidth="1"/>
    <col min="11" max="11" width="20.85546875" style="1" customWidth="1"/>
    <col min="12" max="14" width="12.42578125" style="1" customWidth="1"/>
    <col min="15" max="16384" width="9.28515625" style="1"/>
  </cols>
  <sheetData>
    <row r="1" spans="2:14" ht="12" customHeight="1"/>
    <row r="2" spans="2:14" ht="17.25" customHeight="1">
      <c r="B2" s="655" t="s">
        <v>15</v>
      </c>
      <c r="C2" s="656"/>
      <c r="D2" s="656"/>
      <c r="E2" s="656"/>
      <c r="F2" s="656"/>
      <c r="G2" s="656"/>
      <c r="H2" s="656"/>
      <c r="I2" s="656"/>
      <c r="J2" s="53"/>
    </row>
    <row r="3" spans="2:14" ht="12.75" customHeight="1">
      <c r="B3" s="657" t="s">
        <v>642</v>
      </c>
      <c r="C3" s="656"/>
      <c r="D3" s="656"/>
      <c r="E3" s="656"/>
      <c r="F3" s="656"/>
      <c r="G3" s="656"/>
      <c r="H3" s="656"/>
      <c r="I3" s="656"/>
    </row>
    <row r="4" spans="2:14" ht="12.75" customHeight="1"/>
    <row r="5" spans="2:14" ht="55.5" customHeight="1">
      <c r="C5" s="64" t="s">
        <v>2</v>
      </c>
      <c r="D5" s="658" t="s">
        <v>479</v>
      </c>
      <c r="E5" s="659"/>
      <c r="F5" s="659"/>
      <c r="G5" s="659"/>
      <c r="H5" s="660"/>
      <c r="I5" s="4"/>
      <c r="N5" s="54"/>
    </row>
    <row r="6" spans="2:14" ht="13.5" customHeight="1">
      <c r="C6" s="3"/>
      <c r="D6" s="5"/>
      <c r="E6" s="6"/>
      <c r="F6" s="6"/>
      <c r="G6" s="6"/>
      <c r="H6" s="4"/>
      <c r="I6" s="4"/>
      <c r="N6" s="54"/>
    </row>
    <row r="7" spans="2:14">
      <c r="C7" s="7" t="s">
        <v>3</v>
      </c>
      <c r="D7" s="663" t="s">
        <v>625</v>
      </c>
      <c r="E7" s="664"/>
      <c r="F7" s="664"/>
      <c r="G7" s="664"/>
      <c r="H7" s="9"/>
      <c r="J7" s="8"/>
    </row>
    <row r="8" spans="2:14">
      <c r="C8" s="8"/>
      <c r="D8" s="8"/>
      <c r="H8" s="9"/>
      <c r="J8" s="8"/>
    </row>
    <row r="9" spans="2:14">
      <c r="C9" s="7" t="s">
        <v>16</v>
      </c>
      <c r="D9" s="8" t="s">
        <v>4</v>
      </c>
      <c r="H9" s="9"/>
      <c r="J9" s="8"/>
    </row>
    <row r="10" spans="2:14">
      <c r="C10" s="4"/>
      <c r="D10" s="8"/>
      <c r="H10" s="9"/>
    </row>
    <row r="11" spans="2:14">
      <c r="C11" s="7" t="s">
        <v>17</v>
      </c>
      <c r="D11" s="8" t="s">
        <v>627</v>
      </c>
      <c r="H11" s="9"/>
    </row>
    <row r="12" spans="2:14">
      <c r="C12" s="7"/>
      <c r="D12" s="8"/>
      <c r="H12" s="9"/>
    </row>
    <row r="13" spans="2:14" ht="24.75" customHeight="1">
      <c r="C13" s="7" t="s">
        <v>18</v>
      </c>
      <c r="D13" s="8"/>
      <c r="H13" s="9"/>
    </row>
    <row r="14" spans="2:14">
      <c r="C14" s="7"/>
      <c r="D14" s="8"/>
      <c r="H14" s="9"/>
    </row>
    <row r="15" spans="2:14" ht="24.75" customHeight="1">
      <c r="C15" s="50" t="s">
        <v>27</v>
      </c>
      <c r="D15" s="50" t="s">
        <v>19</v>
      </c>
      <c r="H15" s="50" t="s">
        <v>5</v>
      </c>
    </row>
    <row r="16" spans="2:14" ht="33.75" customHeight="1"/>
    <row r="17" spans="2:11" ht="28.5" customHeight="1">
      <c r="C17" s="50" t="s">
        <v>6</v>
      </c>
      <c r="D17" s="50" t="s">
        <v>20</v>
      </c>
      <c r="H17" s="50" t="s">
        <v>21</v>
      </c>
    </row>
    <row r="18" spans="2:11" ht="25.5" customHeight="1"/>
    <row r="19" spans="2:11" ht="13.5" customHeight="1">
      <c r="B19" s="10"/>
      <c r="C19" s="11"/>
      <c r="D19" s="11"/>
      <c r="E19" s="12"/>
      <c r="F19" s="13"/>
      <c r="G19" s="14"/>
      <c r="H19" s="15"/>
      <c r="I19" s="16" t="s">
        <v>7</v>
      </c>
      <c r="J19" s="55"/>
    </row>
    <row r="20" spans="2:11" ht="15" customHeight="1">
      <c r="B20" s="17" t="s">
        <v>624</v>
      </c>
      <c r="C20" s="18"/>
      <c r="D20" s="19">
        <v>15</v>
      </c>
      <c r="E20" s="20" t="s">
        <v>8</v>
      </c>
      <c r="F20" s="496"/>
      <c r="G20" s="495"/>
      <c r="H20" s="495"/>
      <c r="I20" s="494"/>
      <c r="J20" s="56"/>
    </row>
    <row r="21" spans="2:11">
      <c r="B21" s="17" t="s">
        <v>9</v>
      </c>
      <c r="C21" s="18"/>
      <c r="D21" s="19">
        <v>15</v>
      </c>
      <c r="E21" s="20" t="s">
        <v>8</v>
      </c>
      <c r="F21" s="21"/>
      <c r="G21" s="22"/>
      <c r="H21" s="22"/>
      <c r="I21" s="23"/>
      <c r="J21" s="56"/>
    </row>
    <row r="22" spans="2:11">
      <c r="B22" s="17" t="s">
        <v>624</v>
      </c>
      <c r="C22" s="18"/>
      <c r="D22" s="19">
        <v>21</v>
      </c>
      <c r="E22" s="20" t="s">
        <v>8</v>
      </c>
      <c r="F22" s="21"/>
      <c r="G22" s="22"/>
      <c r="H22" s="22"/>
      <c r="I22" s="23">
        <f>StavbaCelkem</f>
        <v>150850124.63428</v>
      </c>
      <c r="J22" s="56"/>
    </row>
    <row r="23" spans="2:11" ht="13.8" thickBot="1">
      <c r="B23" s="17" t="s">
        <v>9</v>
      </c>
      <c r="C23" s="18"/>
      <c r="D23" s="19">
        <v>21</v>
      </c>
      <c r="E23" s="20" t="s">
        <v>8</v>
      </c>
      <c r="F23" s="493"/>
      <c r="G23" s="492"/>
      <c r="H23" s="492"/>
      <c r="I23" s="491">
        <f>I38</f>
        <v>31678526.173198804</v>
      </c>
      <c r="J23" s="56"/>
    </row>
    <row r="24" spans="2:11" ht="16.2" thickBot="1">
      <c r="B24" s="24" t="s">
        <v>623</v>
      </c>
      <c r="C24" s="25"/>
      <c r="D24" s="25"/>
      <c r="E24" s="26"/>
      <c r="F24" s="27"/>
      <c r="G24" s="28"/>
      <c r="H24" s="28"/>
      <c r="I24" s="29">
        <f>SUM(I20:I23)</f>
        <v>182528650.80747879</v>
      </c>
      <c r="J24" s="57"/>
      <c r="K24" s="58"/>
    </row>
    <row r="26" spans="2:11">
      <c r="K26" s="59"/>
    </row>
    <row r="27" spans="2:11" ht="1.5" customHeight="1"/>
    <row r="28" spans="2:11" ht="15.75" customHeight="1">
      <c r="B28" s="30" t="s">
        <v>10</v>
      </c>
      <c r="C28" s="2"/>
      <c r="D28" s="2"/>
      <c r="E28" s="2"/>
      <c r="F28" s="2"/>
      <c r="G28" s="2"/>
      <c r="H28" s="2"/>
      <c r="I28" s="2"/>
      <c r="J28" s="2"/>
      <c r="K28" s="60"/>
    </row>
    <row r="29" spans="2:11" ht="5.25" customHeight="1">
      <c r="K29" s="60"/>
    </row>
    <row r="30" spans="2:11" ht="24" customHeight="1">
      <c r="B30" s="31" t="s">
        <v>11</v>
      </c>
      <c r="C30" s="32"/>
      <c r="D30" s="32"/>
      <c r="E30" s="33"/>
      <c r="F30" s="489" t="s">
        <v>475</v>
      </c>
      <c r="G30" s="490" t="str">
        <f>CONCATENATE("Základ DPH ",SazbaDPH1," %")</f>
        <v>Základ DPH 15 %</v>
      </c>
      <c r="H30" s="489" t="str">
        <f>CONCATENATE("Základ DPH ",SazbaDPH2," %")</f>
        <v>Základ DPH 21 %</v>
      </c>
      <c r="I30" s="489" t="s">
        <v>622</v>
      </c>
    </row>
    <row r="31" spans="2:11">
      <c r="B31" s="34" t="s">
        <v>0</v>
      </c>
      <c r="C31" s="35"/>
      <c r="D31" s="36"/>
      <c r="E31" s="37"/>
      <c r="F31" s="38"/>
      <c r="G31" s="39"/>
      <c r="H31" s="39"/>
      <c r="I31" s="49"/>
      <c r="K31" s="59"/>
    </row>
    <row r="32" spans="2:11">
      <c r="B32" s="40"/>
      <c r="C32" s="661" t="s">
        <v>12</v>
      </c>
      <c r="D32" s="662"/>
      <c r="E32" s="662"/>
      <c r="F32" s="69">
        <f t="shared" ref="F32:F37" si="0">H32+I32</f>
        <v>9291590</v>
      </c>
      <c r="G32" s="69"/>
      <c r="H32" s="69">
        <f>[6]VRN!G42</f>
        <v>7679000</v>
      </c>
      <c r="I32" s="70">
        <f t="shared" ref="I32:I37" si="1">(G32*SazbaDPH1)/100+(H32*SazbaDPH2)/100</f>
        <v>1612590</v>
      </c>
      <c r="J32" s="61"/>
      <c r="K32" s="52"/>
    </row>
    <row r="33" spans="1:12">
      <c r="B33" s="68"/>
      <c r="C33" s="651" t="s">
        <v>614</v>
      </c>
      <c r="D33" s="652"/>
      <c r="E33" s="652"/>
      <c r="F33" s="69">
        <f t="shared" si="0"/>
        <v>68329360.219559997</v>
      </c>
      <c r="G33" s="69"/>
      <c r="H33" s="69">
        <f>'OBJEKT 1'!H375</f>
        <v>56470545.636</v>
      </c>
      <c r="I33" s="70">
        <f t="shared" si="1"/>
        <v>11858814.583559999</v>
      </c>
      <c r="J33" s="61"/>
    </row>
    <row r="34" spans="1:12" ht="12.75" customHeight="1">
      <c r="B34" s="68"/>
      <c r="C34" s="651" t="s">
        <v>615</v>
      </c>
      <c r="D34" s="652"/>
      <c r="E34" s="652"/>
      <c r="F34" s="69">
        <f t="shared" si="0"/>
        <v>40711276.992650002</v>
      </c>
      <c r="G34" s="69"/>
      <c r="H34" s="69">
        <f>'OBJEKT 2'!H454</f>
        <v>33645683.465000004</v>
      </c>
      <c r="I34" s="70">
        <f t="shared" si="1"/>
        <v>7065593.5276500015</v>
      </c>
      <c r="J34" s="61"/>
    </row>
    <row r="35" spans="1:12" ht="12.75" customHeight="1">
      <c r="B35" s="68"/>
      <c r="C35" s="653" t="s">
        <v>616</v>
      </c>
      <c r="D35" s="654"/>
      <c r="E35" s="654"/>
      <c r="F35" s="69">
        <f t="shared" si="0"/>
        <v>42143270.17868001</v>
      </c>
      <c r="G35" s="488"/>
      <c r="H35" s="69">
        <f>'OBJEKT 3'!H446</f>
        <v>34829148.908000007</v>
      </c>
      <c r="I35" s="70">
        <f t="shared" si="1"/>
        <v>7314121.2706800019</v>
      </c>
      <c r="J35" s="52"/>
    </row>
    <row r="36" spans="1:12">
      <c r="B36" s="68"/>
      <c r="C36" s="653" t="s">
        <v>617</v>
      </c>
      <c r="D36" s="654"/>
      <c r="E36" s="654"/>
      <c r="F36" s="69">
        <f t="shared" si="0"/>
        <v>4460912.0520887999</v>
      </c>
      <c r="G36" s="488"/>
      <c r="H36" s="69">
        <f>'OBJEKT 4'!H258</f>
        <v>3686704.1752800001</v>
      </c>
      <c r="I36" s="70">
        <f t="shared" si="1"/>
        <v>774207.87680879992</v>
      </c>
      <c r="J36" s="52"/>
      <c r="K36" s="60"/>
    </row>
    <row r="37" spans="1:12">
      <c r="B37" s="68"/>
      <c r="C37" s="653" t="s">
        <v>618</v>
      </c>
      <c r="D37" s="654"/>
      <c r="E37" s="654"/>
      <c r="F37" s="69">
        <f t="shared" si="0"/>
        <v>17592241.364500001</v>
      </c>
      <c r="G37" s="488"/>
      <c r="H37" s="69">
        <f>'PROPOČET - OST. NÁKLADY'!G9+'PROPOČET - OST. NÁKLADY'!G22+'PROPOČET - OST. NÁKLADY'!G40+'PROPOČET - OST. NÁKLADY'!G53+'PROPOČET - OST. NÁKLADY'!G57+'PROPOČET - OST. NÁKLADY'!G66</f>
        <v>14539042.449999999</v>
      </c>
      <c r="I37" s="70">
        <f t="shared" si="1"/>
        <v>3053198.9145</v>
      </c>
      <c r="J37" s="52"/>
    </row>
    <row r="38" spans="1:12" ht="17.25" customHeight="1">
      <c r="B38" s="41" t="s">
        <v>13</v>
      </c>
      <c r="C38" s="42"/>
      <c r="D38" s="43"/>
      <c r="E38" s="44"/>
      <c r="F38" s="45">
        <f>SUM(F32:F37)</f>
        <v>182528650.80747879</v>
      </c>
      <c r="G38" s="45"/>
      <c r="H38" s="45">
        <f>SUM(H32:H37)</f>
        <v>150850124.63428</v>
      </c>
      <c r="I38" s="45">
        <f>SUM(I32:I37)</f>
        <v>31678526.173198804</v>
      </c>
      <c r="J38" s="59"/>
      <c r="K38" s="60"/>
    </row>
    <row r="39" spans="1:12">
      <c r="B39" s="46"/>
      <c r="C39" s="46"/>
      <c r="D39" s="46"/>
      <c r="E39" s="46"/>
      <c r="F39" s="46"/>
      <c r="G39" s="46"/>
      <c r="H39" s="46"/>
      <c r="I39" s="46"/>
      <c r="J39" s="46"/>
    </row>
    <row r="41" spans="1:12" ht="2.25" customHeight="1"/>
    <row r="42" spans="1:12" ht="1.5" customHeight="1"/>
    <row r="43" spans="1:12" ht="0.75" customHeight="1"/>
    <row r="44" spans="1:12" ht="0.75" customHeight="1"/>
    <row r="45" spans="1:12" ht="0.75" customHeight="1"/>
    <row r="46" spans="1:12" ht="17.399999999999999">
      <c r="B46" s="30" t="s">
        <v>1</v>
      </c>
      <c r="C46" s="2"/>
      <c r="D46" s="2"/>
      <c r="E46" s="2"/>
      <c r="F46" s="2"/>
      <c r="G46" s="2"/>
      <c r="H46" s="2"/>
      <c r="I46" s="2"/>
    </row>
    <row r="47" spans="1:12" s="48" customFormat="1" ht="27" customHeight="1">
      <c r="A47" s="669" t="s">
        <v>14</v>
      </c>
      <c r="B47" s="670"/>
      <c r="C47" s="670"/>
      <c r="D47" s="670"/>
      <c r="E47" s="670"/>
      <c r="F47" s="670"/>
      <c r="G47" s="670"/>
      <c r="H47" s="670"/>
      <c r="I47" s="670"/>
    </row>
    <row r="48" spans="1:12" s="47" customFormat="1" ht="24.6" customHeight="1">
      <c r="A48" s="669" t="s">
        <v>28</v>
      </c>
      <c r="B48" s="666"/>
      <c r="C48" s="666"/>
      <c r="D48" s="666"/>
      <c r="E48" s="666"/>
      <c r="F48" s="666"/>
      <c r="G48" s="666"/>
      <c r="H48" s="667"/>
      <c r="I48" s="667"/>
      <c r="J48" s="62"/>
      <c r="L48" s="63"/>
    </row>
    <row r="49" spans="1:15" s="48" customFormat="1" ht="24.6" customHeight="1">
      <c r="B49" s="671" t="s">
        <v>621</v>
      </c>
      <c r="C49" s="671"/>
      <c r="D49" s="671"/>
      <c r="E49" s="671"/>
      <c r="F49" s="671"/>
      <c r="G49" s="671"/>
      <c r="H49" s="671"/>
      <c r="I49" s="671"/>
    </row>
    <row r="50" spans="1:15" s="47" customFormat="1" ht="24.6" customHeight="1">
      <c r="A50" s="668" t="s">
        <v>29</v>
      </c>
      <c r="B50" s="666"/>
      <c r="C50" s="666"/>
      <c r="D50" s="666"/>
      <c r="E50" s="666"/>
      <c r="F50" s="666"/>
      <c r="G50" s="666"/>
      <c r="H50" s="667"/>
      <c r="I50" s="667"/>
      <c r="K50" s="62"/>
      <c r="M50" s="66"/>
      <c r="O50" s="67"/>
    </row>
    <row r="51" spans="1:15" s="47" customFormat="1" ht="24.6" customHeight="1">
      <c r="A51" s="668" t="s">
        <v>620</v>
      </c>
      <c r="B51" s="666"/>
      <c r="C51" s="666"/>
      <c r="D51" s="666"/>
      <c r="E51" s="666"/>
      <c r="F51" s="666"/>
      <c r="G51" s="666"/>
      <c r="H51" s="667"/>
      <c r="I51" s="667"/>
      <c r="J51" s="62"/>
      <c r="L51" s="63"/>
    </row>
    <row r="52" spans="1:15" s="47" customFormat="1" ht="13.5" customHeight="1">
      <c r="A52" s="665" t="s">
        <v>664</v>
      </c>
      <c r="B52" s="666"/>
      <c r="C52" s="666"/>
      <c r="D52" s="666"/>
      <c r="E52" s="666"/>
      <c r="F52" s="666"/>
      <c r="G52" s="666"/>
      <c r="H52" s="667"/>
      <c r="I52" s="667"/>
      <c r="J52" s="62"/>
      <c r="L52" s="63"/>
    </row>
  </sheetData>
  <mergeCells count="16">
    <mergeCell ref="A52:I52"/>
    <mergeCell ref="C36:E36"/>
    <mergeCell ref="C37:E37"/>
    <mergeCell ref="A51:I51"/>
    <mergeCell ref="A50:I50"/>
    <mergeCell ref="A47:I47"/>
    <mergeCell ref="A48:I48"/>
    <mergeCell ref="B49:I49"/>
    <mergeCell ref="C33:E33"/>
    <mergeCell ref="C34:E34"/>
    <mergeCell ref="C35:E35"/>
    <mergeCell ref="B2:I2"/>
    <mergeCell ref="B3:I3"/>
    <mergeCell ref="D5:H5"/>
    <mergeCell ref="C32:E32"/>
    <mergeCell ref="D7:G7"/>
  </mergeCells>
  <printOptions horizontalCentered="1"/>
  <pageMargins left="0.39370078740157483" right="0.39370078740157483" top="0.78740157480314965" bottom="0.39370078740157483" header="0" footer="0"/>
  <pageSetup paperSize="9" scale="8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A9283-ADF1-4543-9CAD-019F98FCB9BA}">
  <sheetPr>
    <pageSetUpPr fitToPage="1"/>
  </sheetPr>
  <dimension ref="A1:IV382"/>
  <sheetViews>
    <sheetView tabSelected="1" topLeftCell="A193" zoomScaleNormal="100" workbookViewId="0"/>
  </sheetViews>
  <sheetFormatPr defaultColWidth="9.28515625" defaultRowHeight="14.4"/>
  <cols>
    <col min="1" max="2" width="5.42578125" style="114" customWidth="1"/>
    <col min="3" max="3" width="15.28515625" style="114" customWidth="1"/>
    <col min="4" max="4" width="75.42578125" style="114" customWidth="1"/>
    <col min="5" max="5" width="7.7109375" style="114" customWidth="1"/>
    <col min="6" max="6" width="11.7109375" style="114" customWidth="1"/>
    <col min="7" max="7" width="16.5703125" style="114" customWidth="1"/>
    <col min="8" max="8" width="18.85546875" style="114" customWidth="1"/>
    <col min="9" max="9" width="19.7109375" style="114" customWidth="1"/>
    <col min="10" max="10" width="18.140625" style="114" customWidth="1"/>
    <col min="11" max="11" width="19" style="114" customWidth="1"/>
    <col min="12" max="12" width="17.28515625" style="114" customWidth="1"/>
    <col min="13" max="13" width="13.7109375" style="114" customWidth="1"/>
    <col min="14" max="14" width="16.28515625" style="114" customWidth="1"/>
    <col min="15" max="17" width="9.28515625" style="114"/>
    <col min="18" max="18" width="13.28515625" style="114" bestFit="1" customWidth="1"/>
    <col min="19" max="19" width="16.28515625" style="114" customWidth="1"/>
    <col min="20" max="20" width="9.28515625" style="114"/>
    <col min="21" max="21" width="11.42578125" style="114" bestFit="1" customWidth="1"/>
    <col min="22" max="16384" width="9.28515625" style="114"/>
  </cols>
  <sheetData>
    <row r="1" spans="1:40" s="100" customFormat="1" ht="20.25" customHeight="1">
      <c r="A1" s="393" t="s">
        <v>30</v>
      </c>
      <c r="B1" s="376"/>
      <c r="C1" s="376"/>
      <c r="D1" s="376"/>
      <c r="E1" s="376"/>
      <c r="F1" s="376"/>
      <c r="G1" s="376"/>
      <c r="I1" s="394"/>
    </row>
    <row r="2" spans="1:40" ht="13.5" customHeight="1">
      <c r="A2" s="675" t="s">
        <v>626</v>
      </c>
      <c r="B2" s="676"/>
      <c r="C2" s="676"/>
      <c r="D2" s="676"/>
      <c r="E2" s="676"/>
      <c r="F2" s="676"/>
      <c r="G2" s="676"/>
      <c r="H2" s="676"/>
      <c r="I2" s="676"/>
      <c r="J2" s="520"/>
    </row>
    <row r="3" spans="1:40" ht="13.5" customHeight="1">
      <c r="A3" s="395" t="s">
        <v>505</v>
      </c>
      <c r="B3" s="396"/>
      <c r="C3" s="396"/>
      <c r="D3" s="396"/>
      <c r="E3" s="396"/>
      <c r="F3" s="376"/>
      <c r="G3" s="376"/>
      <c r="H3" s="100"/>
      <c r="I3" s="100"/>
    </row>
    <row r="4" spans="1:40" ht="13.5" customHeight="1">
      <c r="A4" s="397" t="s">
        <v>619</v>
      </c>
      <c r="B4" s="375"/>
      <c r="C4" s="375"/>
      <c r="D4" s="375"/>
      <c r="E4" s="375"/>
      <c r="F4" s="375"/>
      <c r="G4" s="375"/>
      <c r="H4" s="375"/>
      <c r="I4" s="375"/>
    </row>
    <row r="5" spans="1:40" s="100" customFormat="1" ht="12.75" customHeight="1">
      <c r="A5" s="396"/>
      <c r="B5" s="396"/>
      <c r="C5" s="396"/>
      <c r="D5" s="398"/>
      <c r="E5" s="396"/>
      <c r="F5" s="399"/>
      <c r="G5" s="376"/>
      <c r="H5" s="376"/>
    </row>
    <row r="6" spans="1:40" ht="33.15" customHeight="1">
      <c r="A6" s="119" t="s">
        <v>31</v>
      </c>
      <c r="B6" s="119" t="s">
        <v>32</v>
      </c>
      <c r="C6" s="119" t="s">
        <v>33</v>
      </c>
      <c r="D6" s="119" t="s">
        <v>34</v>
      </c>
      <c r="E6" s="119" t="s">
        <v>35</v>
      </c>
      <c r="F6" s="119" t="s">
        <v>36</v>
      </c>
      <c r="G6" s="119" t="s">
        <v>37</v>
      </c>
      <c r="H6" s="119" t="s">
        <v>475</v>
      </c>
      <c r="I6" s="119" t="s">
        <v>22</v>
      </c>
      <c r="J6" s="521"/>
      <c r="K6" s="120"/>
      <c r="L6" s="522"/>
      <c r="M6" s="522"/>
      <c r="N6" s="522"/>
      <c r="O6" s="522"/>
    </row>
    <row r="7" spans="1:40" ht="15.6">
      <c r="A7" s="119" t="s">
        <v>38</v>
      </c>
      <c r="B7" s="119" t="s">
        <v>39</v>
      </c>
      <c r="C7" s="119" t="s">
        <v>72</v>
      </c>
      <c r="D7" s="119" t="s">
        <v>73</v>
      </c>
      <c r="E7" s="119" t="s">
        <v>74</v>
      </c>
      <c r="F7" s="119" t="s">
        <v>75</v>
      </c>
      <c r="G7" s="119" t="s">
        <v>76</v>
      </c>
      <c r="H7" s="119" t="s">
        <v>77</v>
      </c>
      <c r="I7" s="119">
        <v>9</v>
      </c>
      <c r="J7" s="521"/>
      <c r="K7" s="523"/>
      <c r="L7" s="522"/>
      <c r="O7" s="524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525"/>
      <c r="AJ7" s="100"/>
      <c r="AK7" s="526"/>
      <c r="AL7" s="100"/>
      <c r="AM7" s="100"/>
      <c r="AN7" s="100"/>
    </row>
    <row r="8" spans="1:40" s="100" customFormat="1" ht="21" customHeight="1">
      <c r="A8" s="121"/>
      <c r="B8" s="122"/>
      <c r="C8" s="122" t="s">
        <v>40</v>
      </c>
      <c r="D8" s="122" t="s">
        <v>41</v>
      </c>
      <c r="E8" s="122"/>
      <c r="F8" s="123"/>
      <c r="G8" s="124"/>
      <c r="H8" s="377">
        <f>H9+H22+H35+H42+H55+H67+H73</f>
        <v>31285652.599999998</v>
      </c>
      <c r="I8" s="118"/>
      <c r="J8" s="527"/>
      <c r="K8" s="528"/>
      <c r="L8" s="528"/>
      <c r="M8" s="528"/>
    </row>
    <row r="9" spans="1:40" s="100" customFormat="1" ht="13.5" customHeight="1">
      <c r="A9" s="125"/>
      <c r="B9" s="126"/>
      <c r="C9" s="126">
        <v>1</v>
      </c>
      <c r="D9" s="126" t="s">
        <v>42</v>
      </c>
      <c r="E9" s="126"/>
      <c r="F9" s="127"/>
      <c r="G9" s="128"/>
      <c r="H9" s="128">
        <f>SUM(H10:H21)</f>
        <v>2700000</v>
      </c>
      <c r="I9" s="129"/>
      <c r="J9" s="529"/>
    </row>
    <row r="10" spans="1:40" s="134" customFormat="1" ht="13.5" customHeight="1">
      <c r="A10" s="130" t="s">
        <v>38</v>
      </c>
      <c r="B10" s="131" t="s">
        <v>43</v>
      </c>
      <c r="C10" s="131" t="s">
        <v>105</v>
      </c>
      <c r="D10" s="131" t="s">
        <v>514</v>
      </c>
      <c r="E10" s="131" t="s">
        <v>23</v>
      </c>
      <c r="F10" s="132">
        <f>F11</f>
        <v>1</v>
      </c>
      <c r="G10" s="133">
        <v>2700000</v>
      </c>
      <c r="H10" s="133">
        <f>F10*G10</f>
        <v>2700000</v>
      </c>
      <c r="I10" s="99" t="s">
        <v>58</v>
      </c>
      <c r="N10" s="530"/>
      <c r="P10" s="531"/>
    </row>
    <row r="11" spans="1:40" s="134" customFormat="1" ht="13.5" customHeight="1">
      <c r="A11" s="135"/>
      <c r="B11" s="136"/>
      <c r="C11" s="136"/>
      <c r="D11" s="101" t="s">
        <v>106</v>
      </c>
      <c r="E11" s="136"/>
      <c r="F11" s="137">
        <v>1</v>
      </c>
      <c r="G11" s="138"/>
      <c r="H11" s="378"/>
      <c r="I11" s="139"/>
      <c r="J11" s="532"/>
      <c r="L11" s="534"/>
      <c r="N11" s="530"/>
      <c r="P11" s="531"/>
    </row>
    <row r="12" spans="1:40" s="145" customFormat="1" ht="13.5" customHeight="1">
      <c r="A12" s="140"/>
      <c r="B12" s="105"/>
      <c r="C12" s="141"/>
      <c r="D12" s="101" t="s">
        <v>80</v>
      </c>
      <c r="E12" s="141"/>
      <c r="F12" s="142"/>
      <c r="G12" s="143"/>
      <c r="H12" s="379"/>
      <c r="I12" s="144"/>
      <c r="J12" s="535"/>
      <c r="K12" s="134"/>
      <c r="L12" s="536"/>
    </row>
    <row r="13" spans="1:40" s="145" customFormat="1" ht="13.5" customHeight="1">
      <c r="A13" s="140"/>
      <c r="B13" s="105"/>
      <c r="C13" s="141"/>
      <c r="D13" s="101" t="s">
        <v>107</v>
      </c>
      <c r="E13" s="141"/>
      <c r="F13" s="142"/>
      <c r="G13" s="143"/>
      <c r="H13" s="379"/>
      <c r="I13" s="144"/>
      <c r="J13" s="535"/>
      <c r="K13" s="134"/>
      <c r="L13" s="536"/>
    </row>
    <row r="14" spans="1:40" s="145" customFormat="1" ht="13.5" customHeight="1">
      <c r="A14" s="140"/>
      <c r="B14" s="105"/>
      <c r="C14" s="141"/>
      <c r="D14" s="101" t="s">
        <v>108</v>
      </c>
      <c r="E14" s="141"/>
      <c r="F14" s="142"/>
      <c r="G14" s="143"/>
      <c r="H14" s="379"/>
      <c r="I14" s="144"/>
      <c r="J14" s="535"/>
      <c r="K14" s="134"/>
      <c r="L14" s="536"/>
    </row>
    <row r="15" spans="1:40" s="145" customFormat="1" ht="13.5" customHeight="1">
      <c r="A15" s="140"/>
      <c r="B15" s="105"/>
      <c r="C15" s="141"/>
      <c r="D15" s="101" t="s">
        <v>109</v>
      </c>
      <c r="E15" s="141"/>
      <c r="F15" s="142"/>
      <c r="G15" s="143"/>
      <c r="H15" s="379"/>
      <c r="I15" s="144"/>
      <c r="J15" s="535"/>
      <c r="K15" s="134"/>
      <c r="L15" s="536"/>
    </row>
    <row r="16" spans="1:40" s="145" customFormat="1" ht="13.5" customHeight="1">
      <c r="A16" s="140"/>
      <c r="B16" s="105"/>
      <c r="C16" s="141"/>
      <c r="D16" s="101" t="s">
        <v>110</v>
      </c>
      <c r="E16" s="141"/>
      <c r="F16" s="142"/>
      <c r="G16" s="143"/>
      <c r="H16" s="379"/>
      <c r="I16" s="144"/>
      <c r="J16" s="535"/>
      <c r="K16" s="134"/>
      <c r="L16" s="536"/>
    </row>
    <row r="17" spans="1:256" s="145" customFormat="1" ht="13.5" customHeight="1">
      <c r="A17" s="140"/>
      <c r="B17" s="105"/>
      <c r="C17" s="141"/>
      <c r="D17" s="101" t="s">
        <v>111</v>
      </c>
      <c r="E17" s="141"/>
      <c r="F17" s="142"/>
      <c r="G17" s="143"/>
      <c r="H17" s="379"/>
      <c r="I17" s="144"/>
      <c r="J17" s="535"/>
      <c r="K17" s="134"/>
      <c r="L17" s="536"/>
    </row>
    <row r="18" spans="1:256" s="145" customFormat="1" ht="13.5" customHeight="1">
      <c r="A18" s="140"/>
      <c r="B18" s="105"/>
      <c r="C18" s="141"/>
      <c r="D18" s="101" t="s">
        <v>112</v>
      </c>
      <c r="E18" s="141"/>
      <c r="F18" s="142"/>
      <c r="G18" s="143"/>
      <c r="H18" s="379"/>
      <c r="I18" s="144"/>
      <c r="J18" s="535"/>
      <c r="K18" s="134"/>
      <c r="L18" s="536"/>
    </row>
    <row r="19" spans="1:256" s="145" customFormat="1" ht="27" customHeight="1">
      <c r="A19" s="140"/>
      <c r="B19" s="105"/>
      <c r="C19" s="141"/>
      <c r="D19" s="101" t="s">
        <v>113</v>
      </c>
      <c r="E19" s="141"/>
      <c r="F19" s="142"/>
      <c r="G19" s="143"/>
      <c r="H19" s="379"/>
      <c r="I19" s="144"/>
      <c r="J19" s="535"/>
      <c r="K19" s="134"/>
      <c r="L19" s="536"/>
    </row>
    <row r="20" spans="1:256" s="145" customFormat="1" ht="13.5" customHeight="1">
      <c r="A20" s="140"/>
      <c r="B20" s="105"/>
      <c r="C20" s="141"/>
      <c r="D20" s="101" t="s">
        <v>82</v>
      </c>
      <c r="E20" s="141"/>
      <c r="F20" s="142"/>
      <c r="G20" s="143"/>
      <c r="H20" s="379"/>
      <c r="I20" s="144"/>
      <c r="J20" s="535"/>
      <c r="K20" s="134"/>
      <c r="L20" s="536"/>
    </row>
    <row r="21" spans="1:256" s="74" customFormat="1" ht="81" customHeight="1">
      <c r="A21" s="81"/>
      <c r="B21" s="82"/>
      <c r="C21" s="83"/>
      <c r="D21" s="84" t="s">
        <v>50</v>
      </c>
      <c r="E21" s="79"/>
      <c r="F21" s="85"/>
      <c r="G21" s="86"/>
      <c r="H21" s="86"/>
      <c r="I21" s="87"/>
      <c r="K21" s="134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  <c r="DR21" s="75"/>
      <c r="DS21" s="75"/>
      <c r="DT21" s="75"/>
      <c r="DU21" s="75"/>
      <c r="DV21" s="75"/>
      <c r="DW21" s="75"/>
      <c r="DX21" s="75"/>
      <c r="DY21" s="75"/>
      <c r="DZ21" s="75"/>
      <c r="EA21" s="75"/>
      <c r="EB21" s="75"/>
      <c r="EC21" s="75"/>
      <c r="ED21" s="75"/>
      <c r="EE21" s="75"/>
      <c r="EF21" s="75"/>
      <c r="EG21" s="75"/>
      <c r="EH21" s="75"/>
      <c r="EI21" s="75"/>
      <c r="EJ21" s="75"/>
      <c r="EK21" s="75"/>
      <c r="EL21" s="75"/>
      <c r="EM21" s="75"/>
      <c r="EN21" s="75"/>
      <c r="EO21" s="75"/>
      <c r="EP21" s="75"/>
      <c r="EQ21" s="75"/>
      <c r="ER21" s="75"/>
      <c r="ES21" s="75"/>
      <c r="ET21" s="75"/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5"/>
      <c r="FF21" s="75"/>
      <c r="FG21" s="75"/>
      <c r="FH21" s="75"/>
      <c r="FI21" s="75"/>
      <c r="FJ21" s="75"/>
      <c r="FK21" s="75"/>
      <c r="FL21" s="75"/>
      <c r="FM21" s="75"/>
      <c r="FN21" s="75"/>
      <c r="FO21" s="75"/>
      <c r="FP21" s="75"/>
      <c r="FQ21" s="75"/>
      <c r="FR21" s="75"/>
      <c r="FS21" s="75"/>
      <c r="FT21" s="75"/>
      <c r="FU21" s="75"/>
      <c r="FV21" s="75"/>
      <c r="FW21" s="75"/>
      <c r="FX21" s="75"/>
      <c r="FY21" s="75"/>
      <c r="FZ21" s="75"/>
      <c r="GA21" s="75"/>
      <c r="GB21" s="75"/>
      <c r="GC21" s="75"/>
      <c r="GD21" s="75"/>
      <c r="GE21" s="75"/>
      <c r="GF21" s="75"/>
      <c r="GG21" s="75"/>
      <c r="GH21" s="75"/>
      <c r="GI21" s="75"/>
      <c r="GJ21" s="75"/>
      <c r="GK21" s="75"/>
      <c r="GL21" s="75"/>
      <c r="GM21" s="75"/>
      <c r="GN21" s="75"/>
      <c r="GO21" s="75"/>
      <c r="GP21" s="75"/>
      <c r="GQ21" s="75"/>
      <c r="GR21" s="75"/>
      <c r="GS21" s="75"/>
      <c r="GT21" s="75"/>
      <c r="GU21" s="75"/>
      <c r="GV21" s="75"/>
      <c r="GW21" s="75"/>
      <c r="GX21" s="75"/>
      <c r="GY21" s="75"/>
      <c r="GZ21" s="75"/>
      <c r="HA21" s="75"/>
      <c r="HB21" s="75"/>
      <c r="HC21" s="75"/>
      <c r="HD21" s="75"/>
      <c r="HE21" s="75"/>
      <c r="HF21" s="75"/>
      <c r="HG21" s="75"/>
      <c r="HH21" s="75"/>
      <c r="HI21" s="75"/>
      <c r="HJ21" s="75"/>
      <c r="HK21" s="75"/>
      <c r="HL21" s="75"/>
      <c r="HM21" s="75"/>
      <c r="HN21" s="75"/>
      <c r="HO21" s="75"/>
      <c r="HP21" s="75"/>
      <c r="HQ21" s="75"/>
      <c r="HR21" s="75"/>
      <c r="HS21" s="75"/>
      <c r="HT21" s="75"/>
      <c r="HU21" s="75"/>
      <c r="HV21" s="75"/>
      <c r="HW21" s="75"/>
      <c r="HX21" s="75"/>
      <c r="HY21" s="75"/>
      <c r="HZ21" s="75"/>
      <c r="IA21" s="75"/>
      <c r="IB21" s="75"/>
      <c r="IC21" s="75"/>
      <c r="ID21" s="75"/>
      <c r="IE21" s="75"/>
      <c r="IF21" s="75"/>
      <c r="IG21" s="75"/>
      <c r="IH21" s="75"/>
      <c r="II21" s="75"/>
      <c r="IJ21" s="75"/>
      <c r="IK21" s="75"/>
      <c r="IL21" s="75"/>
      <c r="IM21" s="75"/>
      <c r="IN21" s="75"/>
      <c r="IO21" s="75"/>
      <c r="IP21" s="75"/>
      <c r="IQ21" s="75"/>
      <c r="IR21" s="75"/>
      <c r="IS21" s="75"/>
      <c r="IT21" s="75"/>
      <c r="IU21" s="75"/>
      <c r="IV21" s="75"/>
    </row>
    <row r="22" spans="1:256" s="100" customFormat="1" ht="13.5" customHeight="1">
      <c r="A22" s="146"/>
      <c r="B22" s="147"/>
      <c r="C22" s="147">
        <v>2</v>
      </c>
      <c r="D22" s="147" t="s">
        <v>84</v>
      </c>
      <c r="E22" s="147"/>
      <c r="F22" s="148"/>
      <c r="G22" s="149"/>
      <c r="H22" s="149">
        <f>SUM(H23:H34)</f>
        <v>2250000</v>
      </c>
      <c r="I22" s="150"/>
      <c r="J22" s="537"/>
      <c r="K22" s="134"/>
      <c r="L22" s="538"/>
      <c r="M22" s="537"/>
      <c r="N22" s="539"/>
    </row>
    <row r="23" spans="1:256" s="111" customFormat="1" ht="13.5" customHeight="1">
      <c r="A23" s="96">
        <v>2</v>
      </c>
      <c r="B23" s="105" t="s">
        <v>114</v>
      </c>
      <c r="C23" s="97" t="s">
        <v>115</v>
      </c>
      <c r="D23" s="97" t="s">
        <v>515</v>
      </c>
      <c r="E23" s="97" t="s">
        <v>23</v>
      </c>
      <c r="F23" s="98">
        <f>SUM(F24)</f>
        <v>1</v>
      </c>
      <c r="G23" s="71">
        <v>2250000</v>
      </c>
      <c r="H23" s="133">
        <f>F23*G23</f>
        <v>2250000</v>
      </c>
      <c r="I23" s="99" t="s">
        <v>58</v>
      </c>
      <c r="J23" s="532"/>
      <c r="K23" s="134"/>
      <c r="L23" s="534"/>
      <c r="M23" s="537"/>
      <c r="N23" s="539"/>
    </row>
    <row r="24" spans="1:256" s="157" customFormat="1" ht="13.5" customHeight="1">
      <c r="A24" s="151"/>
      <c r="B24" s="152"/>
      <c r="C24" s="153"/>
      <c r="D24" s="153" t="s">
        <v>116</v>
      </c>
      <c r="E24" s="153"/>
      <c r="F24" s="154">
        <v>1</v>
      </c>
      <c r="G24" s="155"/>
      <c r="H24" s="380"/>
      <c r="I24" s="156"/>
      <c r="J24" s="537"/>
      <c r="K24" s="134"/>
      <c r="L24" s="538"/>
      <c r="M24" s="537"/>
      <c r="N24" s="100"/>
    </row>
    <row r="25" spans="1:256" s="100" customFormat="1" ht="13.5" customHeight="1">
      <c r="A25" s="146"/>
      <c r="B25" s="147"/>
      <c r="C25" s="147"/>
      <c r="D25" s="153" t="s">
        <v>117</v>
      </c>
      <c r="E25" s="147"/>
      <c r="F25" s="113"/>
      <c r="G25" s="149"/>
      <c r="H25" s="149"/>
      <c r="I25" s="109"/>
      <c r="J25" s="540"/>
      <c r="K25" s="134"/>
      <c r="L25" s="538"/>
      <c r="M25" s="537"/>
    </row>
    <row r="26" spans="1:256" s="100" customFormat="1" ht="13.5" customHeight="1">
      <c r="A26" s="146"/>
      <c r="B26" s="147"/>
      <c r="C26" s="147"/>
      <c r="D26" s="153" t="s">
        <v>118</v>
      </c>
      <c r="E26" s="147"/>
      <c r="F26" s="113"/>
      <c r="G26" s="149"/>
      <c r="H26" s="149"/>
      <c r="I26" s="109"/>
      <c r="J26" s="540"/>
      <c r="K26" s="134"/>
      <c r="L26" s="538"/>
      <c r="M26" s="537"/>
    </row>
    <row r="27" spans="1:256" s="100" customFormat="1" ht="13.5" customHeight="1">
      <c r="A27" s="146"/>
      <c r="B27" s="147"/>
      <c r="C27" s="147"/>
      <c r="D27" s="153" t="s">
        <v>119</v>
      </c>
      <c r="E27" s="147"/>
      <c r="F27" s="148"/>
      <c r="G27" s="149"/>
      <c r="H27" s="149"/>
      <c r="I27" s="150"/>
      <c r="J27" s="537"/>
      <c r="K27" s="134"/>
      <c r="L27" s="538"/>
      <c r="M27" s="537"/>
    </row>
    <row r="28" spans="1:256" s="100" customFormat="1" ht="13.5" customHeight="1">
      <c r="A28" s="146"/>
      <c r="B28" s="147"/>
      <c r="C28" s="147"/>
      <c r="D28" s="153" t="s">
        <v>120</v>
      </c>
      <c r="E28" s="147"/>
      <c r="F28" s="148"/>
      <c r="G28" s="149"/>
      <c r="H28" s="149"/>
      <c r="I28" s="150"/>
      <c r="J28" s="537"/>
      <c r="K28" s="134"/>
      <c r="L28" s="538"/>
      <c r="M28" s="537"/>
    </row>
    <row r="29" spans="1:256" s="100" customFormat="1" ht="13.5" customHeight="1">
      <c r="A29" s="146"/>
      <c r="B29" s="147"/>
      <c r="C29" s="147"/>
      <c r="D29" s="153" t="s">
        <v>121</v>
      </c>
      <c r="E29" s="147"/>
      <c r="F29" s="148"/>
      <c r="G29" s="149"/>
      <c r="H29" s="149"/>
      <c r="I29" s="150"/>
      <c r="J29" s="537"/>
      <c r="K29" s="134"/>
      <c r="L29" s="538"/>
      <c r="M29" s="537"/>
    </row>
    <row r="30" spans="1:256" s="100" customFormat="1" ht="13.5" customHeight="1">
      <c r="A30" s="146"/>
      <c r="B30" s="147"/>
      <c r="C30" s="147"/>
      <c r="D30" s="153" t="s">
        <v>122</v>
      </c>
      <c r="E30" s="147"/>
      <c r="F30" s="148"/>
      <c r="G30" s="149"/>
      <c r="H30" s="149"/>
      <c r="I30" s="150"/>
      <c r="J30" s="537"/>
      <c r="K30" s="134"/>
      <c r="L30" s="538"/>
      <c r="M30" s="537"/>
      <c r="N30" s="539"/>
    </row>
    <row r="31" spans="1:256" s="100" customFormat="1" ht="13.5" customHeight="1">
      <c r="A31" s="146"/>
      <c r="B31" s="147"/>
      <c r="C31" s="147"/>
      <c r="D31" s="153" t="s">
        <v>123</v>
      </c>
      <c r="E31" s="147"/>
      <c r="F31" s="148"/>
      <c r="G31" s="149"/>
      <c r="H31" s="149"/>
      <c r="I31" s="150"/>
      <c r="J31" s="537"/>
      <c r="K31" s="134"/>
      <c r="L31" s="538"/>
      <c r="M31" s="537"/>
      <c r="N31" s="157"/>
    </row>
    <row r="32" spans="1:256" s="100" customFormat="1" ht="13.5" customHeight="1">
      <c r="A32" s="146"/>
      <c r="B32" s="147"/>
      <c r="C32" s="147"/>
      <c r="D32" s="153" t="s">
        <v>124</v>
      </c>
      <c r="E32" s="147"/>
      <c r="F32" s="148"/>
      <c r="G32" s="149"/>
      <c r="H32" s="149"/>
      <c r="I32" s="150"/>
      <c r="J32" s="537"/>
      <c r="K32" s="134"/>
      <c r="L32" s="538"/>
      <c r="M32" s="537"/>
    </row>
    <row r="33" spans="1:19" s="100" customFormat="1" ht="13.5" customHeight="1">
      <c r="A33" s="146"/>
      <c r="B33" s="147"/>
      <c r="C33" s="147"/>
      <c r="D33" s="158" t="s">
        <v>125</v>
      </c>
      <c r="E33" s="147"/>
      <c r="F33" s="148"/>
      <c r="G33" s="149"/>
      <c r="H33" s="149"/>
      <c r="I33" s="150"/>
      <c r="J33" s="537"/>
      <c r="K33" s="134"/>
      <c r="L33" s="538"/>
      <c r="M33" s="537"/>
    </row>
    <row r="34" spans="1:19" s="100" customFormat="1" ht="13.5" customHeight="1">
      <c r="A34" s="146"/>
      <c r="B34" s="147"/>
      <c r="C34" s="147"/>
      <c r="D34" s="153" t="s">
        <v>126</v>
      </c>
      <c r="E34" s="147"/>
      <c r="F34" s="148"/>
      <c r="G34" s="149"/>
      <c r="H34" s="149"/>
      <c r="I34" s="150"/>
      <c r="J34" s="537"/>
      <c r="K34" s="134"/>
      <c r="L34" s="538"/>
      <c r="M34" s="537"/>
    </row>
    <row r="35" spans="1:19" s="100" customFormat="1" ht="13.5" customHeight="1">
      <c r="A35" s="146"/>
      <c r="B35" s="147"/>
      <c r="C35" s="147">
        <v>3</v>
      </c>
      <c r="D35" s="147" t="s">
        <v>85</v>
      </c>
      <c r="E35" s="147"/>
      <c r="F35" s="148"/>
      <c r="G35" s="149"/>
      <c r="H35" s="149">
        <f>SUM(H36:H41)</f>
        <v>20000000</v>
      </c>
      <c r="I35" s="109"/>
      <c r="J35" s="541"/>
      <c r="K35" s="134"/>
      <c r="L35" s="542"/>
      <c r="M35" s="94"/>
      <c r="N35" s="543"/>
    </row>
    <row r="36" spans="1:19" s="100" customFormat="1" ht="13.5" customHeight="1">
      <c r="A36" s="96">
        <v>3</v>
      </c>
      <c r="B36" s="105" t="s">
        <v>114</v>
      </c>
      <c r="C36" s="97" t="s">
        <v>648</v>
      </c>
      <c r="D36" s="97" t="s">
        <v>628</v>
      </c>
      <c r="E36" s="97" t="s">
        <v>23</v>
      </c>
      <c r="F36" s="98">
        <f>SUM(F37:F37)</f>
        <v>1</v>
      </c>
      <c r="G36" s="106">
        <v>20000000</v>
      </c>
      <c r="H36" s="138">
        <f>F36*G36</f>
        <v>20000000</v>
      </c>
      <c r="I36" s="99" t="s">
        <v>58</v>
      </c>
      <c r="K36" s="134"/>
      <c r="L36" s="545"/>
      <c r="M36" s="111"/>
      <c r="N36" s="544"/>
    </row>
    <row r="37" spans="1:19" s="145" customFormat="1" ht="13.5" customHeight="1">
      <c r="A37" s="140"/>
      <c r="B37" s="141"/>
      <c r="C37" s="141"/>
      <c r="D37" s="101" t="s">
        <v>629</v>
      </c>
      <c r="E37" s="141"/>
      <c r="F37" s="113">
        <v>1</v>
      </c>
      <c r="G37" s="143"/>
      <c r="H37" s="143"/>
      <c r="I37" s="159"/>
      <c r="J37" s="100"/>
      <c r="K37" s="134"/>
      <c r="L37" s="545"/>
      <c r="M37" s="111"/>
      <c r="N37" s="544"/>
    </row>
    <row r="38" spans="1:19" s="100" customFormat="1" ht="13.5" customHeight="1">
      <c r="A38" s="96"/>
      <c r="B38" s="105"/>
      <c r="C38" s="97"/>
      <c r="D38" s="80" t="s">
        <v>80</v>
      </c>
      <c r="E38" s="97"/>
      <c r="F38" s="109"/>
      <c r="G38" s="106"/>
      <c r="H38" s="106"/>
      <c r="I38" s="159"/>
      <c r="K38" s="134"/>
      <c r="L38" s="545"/>
      <c r="M38" s="111"/>
      <c r="N38" s="544"/>
    </row>
    <row r="39" spans="1:19" s="100" customFormat="1" ht="13.5" customHeight="1">
      <c r="A39" s="102"/>
      <c r="B39" s="103"/>
      <c r="C39" s="103"/>
      <c r="D39" s="158" t="s">
        <v>630</v>
      </c>
      <c r="E39" s="103"/>
      <c r="F39" s="162"/>
      <c r="G39" s="110"/>
      <c r="H39" s="106"/>
      <c r="I39" s="109"/>
      <c r="K39" s="134"/>
      <c r="L39" s="545"/>
      <c r="M39" s="111"/>
      <c r="N39" s="544"/>
    </row>
    <row r="40" spans="1:19" s="100" customFormat="1" ht="13.5" customHeight="1">
      <c r="A40" s="102"/>
      <c r="B40" s="103"/>
      <c r="C40" s="103"/>
      <c r="D40" s="158" t="s">
        <v>485</v>
      </c>
      <c r="E40" s="103"/>
      <c r="F40" s="162"/>
      <c r="G40" s="110"/>
      <c r="H40" s="106"/>
      <c r="I40" s="109"/>
      <c r="K40" s="134"/>
      <c r="L40" s="545"/>
      <c r="M40" s="111"/>
      <c r="N40" s="544"/>
    </row>
    <row r="41" spans="1:19" s="116" customFormat="1" ht="13.5" customHeight="1">
      <c r="A41" s="115"/>
      <c r="B41" s="105"/>
      <c r="C41" s="97"/>
      <c r="D41" s="158" t="s">
        <v>133</v>
      </c>
      <c r="E41" s="97"/>
      <c r="F41" s="162"/>
      <c r="G41" s="106"/>
      <c r="H41" s="106"/>
      <c r="I41" s="163"/>
      <c r="J41" s="100"/>
      <c r="K41" s="134"/>
      <c r="L41" s="545"/>
      <c r="M41" s="111"/>
      <c r="N41" s="544"/>
    </row>
    <row r="42" spans="1:19" s="100" customFormat="1" ht="13.5" customHeight="1">
      <c r="A42" s="146"/>
      <c r="B42" s="147"/>
      <c r="C42" s="147">
        <v>4</v>
      </c>
      <c r="D42" s="147" t="s">
        <v>51</v>
      </c>
      <c r="E42" s="147"/>
      <c r="F42" s="148"/>
      <c r="G42" s="149"/>
      <c r="H42" s="149">
        <f>SUM(H43:H54)</f>
        <v>1917000</v>
      </c>
      <c r="I42" s="109"/>
      <c r="J42" s="541"/>
      <c r="K42" s="134"/>
      <c r="L42" s="545"/>
      <c r="M42" s="111"/>
      <c r="N42" s="544"/>
    </row>
    <row r="43" spans="1:19" s="100" customFormat="1" ht="13.5" customHeight="1">
      <c r="A43" s="165">
        <v>4</v>
      </c>
      <c r="B43" s="105" t="s">
        <v>114</v>
      </c>
      <c r="C43" s="97" t="s">
        <v>649</v>
      </c>
      <c r="D43" s="97" t="s">
        <v>631</v>
      </c>
      <c r="E43" s="97" t="s">
        <v>23</v>
      </c>
      <c r="F43" s="400">
        <f>SUM(F44)</f>
        <v>1</v>
      </c>
      <c r="G43" s="106">
        <v>1800000</v>
      </c>
      <c r="H43" s="133">
        <f>F43*G43</f>
        <v>1800000</v>
      </c>
      <c r="I43" s="99" t="s">
        <v>49</v>
      </c>
      <c r="J43" s="546"/>
      <c r="K43" s="134"/>
      <c r="L43" s="547"/>
      <c r="M43" s="548"/>
      <c r="N43" s="549"/>
    </row>
    <row r="44" spans="1:19" s="100" customFormat="1" ht="13.5" customHeight="1">
      <c r="A44" s="146"/>
      <c r="B44" s="147"/>
      <c r="C44" s="401"/>
      <c r="D44" s="153" t="s">
        <v>585</v>
      </c>
      <c r="E44" s="147"/>
      <c r="F44" s="113">
        <v>1</v>
      </c>
      <c r="G44" s="106"/>
      <c r="H44" s="149"/>
      <c r="I44" s="402"/>
      <c r="J44" s="546"/>
      <c r="K44" s="134"/>
      <c r="L44" s="547"/>
      <c r="M44" s="548"/>
      <c r="N44" s="548"/>
      <c r="O44" s="551"/>
      <c r="P44" s="548"/>
      <c r="Q44" s="552"/>
      <c r="R44" s="553"/>
      <c r="S44" s="554"/>
    </row>
    <row r="45" spans="1:19" s="100" customFormat="1" ht="13.5" customHeight="1">
      <c r="A45" s="146"/>
      <c r="B45" s="147"/>
      <c r="C45" s="401"/>
      <c r="D45" s="80" t="s">
        <v>80</v>
      </c>
      <c r="E45" s="147"/>
      <c r="F45" s="148"/>
      <c r="G45" s="106"/>
      <c r="H45" s="149"/>
      <c r="I45" s="402"/>
      <c r="J45" s="555"/>
      <c r="K45" s="134"/>
      <c r="L45" s="547"/>
      <c r="M45" s="548"/>
      <c r="N45" s="549"/>
      <c r="P45" s="548"/>
      <c r="Q45" s="552"/>
      <c r="R45" s="553"/>
      <c r="S45" s="554"/>
    </row>
    <row r="46" spans="1:19" s="100" customFormat="1" ht="13.5" customHeight="1">
      <c r="A46" s="146"/>
      <c r="B46" s="147"/>
      <c r="C46" s="401"/>
      <c r="D46" s="158" t="s">
        <v>586</v>
      </c>
      <c r="E46" s="147"/>
      <c r="F46" s="148"/>
      <c r="G46" s="106"/>
      <c r="H46" s="149"/>
      <c r="I46" s="150"/>
      <c r="J46" s="555"/>
      <c r="K46" s="134"/>
      <c r="L46" s="547"/>
      <c r="M46" s="548"/>
      <c r="N46" s="549"/>
      <c r="O46" s="551"/>
      <c r="P46" s="548"/>
      <c r="Q46" s="552"/>
      <c r="R46" s="553"/>
      <c r="S46" s="554"/>
    </row>
    <row r="47" spans="1:19" s="100" customFormat="1" ht="13.5" customHeight="1">
      <c r="A47" s="146"/>
      <c r="B47" s="147"/>
      <c r="C47" s="401"/>
      <c r="D47" s="158" t="s">
        <v>133</v>
      </c>
      <c r="E47" s="147"/>
      <c r="F47" s="148"/>
      <c r="G47" s="106"/>
      <c r="H47" s="149"/>
      <c r="I47" s="150"/>
      <c r="J47" s="555"/>
      <c r="K47" s="134"/>
      <c r="L47" s="547"/>
      <c r="M47" s="548"/>
      <c r="N47" s="548"/>
      <c r="O47" s="551"/>
      <c r="P47" s="548"/>
      <c r="Q47" s="552"/>
      <c r="R47" s="553"/>
      <c r="S47" s="554"/>
    </row>
    <row r="48" spans="1:19" s="100" customFormat="1" ht="13.5" customHeight="1">
      <c r="A48" s="146"/>
      <c r="B48" s="147"/>
      <c r="C48" s="401"/>
      <c r="D48" s="158" t="s">
        <v>600</v>
      </c>
      <c r="E48" s="147"/>
      <c r="F48" s="148"/>
      <c r="G48" s="106"/>
      <c r="H48" s="149"/>
      <c r="I48" s="150"/>
      <c r="J48" s="555"/>
      <c r="K48" s="134"/>
      <c r="L48" s="547"/>
      <c r="M48" s="548"/>
      <c r="N48" s="548"/>
      <c r="O48" s="551"/>
      <c r="P48" s="548"/>
      <c r="Q48" s="552"/>
      <c r="R48" s="553"/>
      <c r="S48" s="554"/>
    </row>
    <row r="49" spans="1:19" s="100" customFormat="1" ht="13.5" customHeight="1">
      <c r="A49" s="165">
        <v>5</v>
      </c>
      <c r="B49" s="105" t="s">
        <v>114</v>
      </c>
      <c r="C49" s="97" t="s">
        <v>134</v>
      </c>
      <c r="D49" s="97" t="s">
        <v>632</v>
      </c>
      <c r="E49" s="97" t="s">
        <v>23</v>
      </c>
      <c r="F49" s="400">
        <f>SUM(F50)</f>
        <v>1</v>
      </c>
      <c r="G49" s="106">
        <v>117000</v>
      </c>
      <c r="H49" s="133">
        <f>F49*G49</f>
        <v>117000</v>
      </c>
      <c r="I49" s="99" t="s">
        <v>49</v>
      </c>
      <c r="J49" s="546"/>
      <c r="K49" s="134"/>
      <c r="L49" s="547"/>
      <c r="M49" s="548"/>
      <c r="N49" s="549"/>
    </row>
    <row r="50" spans="1:19" s="100" customFormat="1" ht="13.5" customHeight="1">
      <c r="A50" s="146"/>
      <c r="B50" s="147"/>
      <c r="C50" s="401"/>
      <c r="D50" s="153" t="s">
        <v>633</v>
      </c>
      <c r="E50" s="147"/>
      <c r="F50" s="113">
        <v>1</v>
      </c>
      <c r="G50" s="106"/>
      <c r="H50" s="149"/>
      <c r="I50" s="402"/>
      <c r="J50" s="546"/>
      <c r="K50" s="134"/>
      <c r="L50" s="547"/>
      <c r="M50" s="548"/>
      <c r="N50" s="548"/>
      <c r="O50" s="551"/>
      <c r="P50" s="548"/>
      <c r="Q50" s="552"/>
      <c r="R50" s="553"/>
      <c r="S50" s="554"/>
    </row>
    <row r="51" spans="1:19" s="100" customFormat="1" ht="13.5" customHeight="1">
      <c r="A51" s="146"/>
      <c r="B51" s="147"/>
      <c r="C51" s="401"/>
      <c r="D51" s="80" t="s">
        <v>80</v>
      </c>
      <c r="E51" s="147"/>
      <c r="F51" s="148"/>
      <c r="G51" s="106"/>
      <c r="H51" s="149"/>
      <c r="I51" s="402"/>
      <c r="J51" s="555"/>
      <c r="K51" s="134"/>
      <c r="L51" s="547"/>
      <c r="M51" s="548"/>
      <c r="N51" s="549"/>
      <c r="P51" s="548"/>
      <c r="Q51" s="552"/>
      <c r="R51" s="553"/>
      <c r="S51" s="554"/>
    </row>
    <row r="52" spans="1:19" s="100" customFormat="1" ht="13.5" customHeight="1">
      <c r="A52" s="146"/>
      <c r="B52" s="147"/>
      <c r="C52" s="401"/>
      <c r="D52" s="158" t="s">
        <v>586</v>
      </c>
      <c r="E52" s="147"/>
      <c r="F52" s="148"/>
      <c r="G52" s="106"/>
      <c r="H52" s="149"/>
      <c r="I52" s="150"/>
      <c r="J52" s="555"/>
      <c r="K52" s="134"/>
      <c r="L52" s="547"/>
      <c r="M52" s="548"/>
      <c r="N52" s="549"/>
      <c r="O52" s="551"/>
      <c r="P52" s="548"/>
      <c r="Q52" s="552"/>
      <c r="R52" s="553"/>
      <c r="S52" s="554"/>
    </row>
    <row r="53" spans="1:19" s="100" customFormat="1" ht="13.5" customHeight="1">
      <c r="A53" s="146"/>
      <c r="B53" s="147"/>
      <c r="C53" s="401"/>
      <c r="D53" s="158" t="s">
        <v>133</v>
      </c>
      <c r="E53" s="147"/>
      <c r="F53" s="148"/>
      <c r="G53" s="106"/>
      <c r="H53" s="149"/>
      <c r="I53" s="150"/>
      <c r="J53" s="555"/>
      <c r="K53" s="134"/>
      <c r="L53" s="547"/>
      <c r="M53" s="548"/>
      <c r="N53" s="548"/>
      <c r="O53" s="551"/>
      <c r="P53" s="548"/>
      <c r="Q53" s="552"/>
      <c r="R53" s="553"/>
      <c r="S53" s="554"/>
    </row>
    <row r="54" spans="1:19" s="100" customFormat="1" ht="13.5" customHeight="1">
      <c r="A54" s="146"/>
      <c r="B54" s="147"/>
      <c r="C54" s="401"/>
      <c r="D54" s="158" t="s">
        <v>601</v>
      </c>
      <c r="E54" s="147"/>
      <c r="F54" s="148"/>
      <c r="G54" s="106"/>
      <c r="H54" s="149"/>
      <c r="I54" s="150"/>
      <c r="J54" s="555"/>
      <c r="K54" s="134"/>
      <c r="L54" s="547"/>
      <c r="M54" s="548"/>
      <c r="N54" s="548"/>
      <c r="O54" s="551"/>
      <c r="P54" s="548"/>
      <c r="Q54" s="552"/>
      <c r="R54" s="553"/>
      <c r="S54" s="554"/>
    </row>
    <row r="55" spans="1:19" s="100" customFormat="1" ht="13.5" customHeight="1">
      <c r="A55" s="146"/>
      <c r="B55" s="147"/>
      <c r="C55" s="164" t="s">
        <v>75</v>
      </c>
      <c r="D55" s="164" t="s">
        <v>86</v>
      </c>
      <c r="E55" s="164"/>
      <c r="F55" s="166"/>
      <c r="G55" s="167"/>
      <c r="H55" s="167">
        <f>SUM(H56:H66)</f>
        <v>2650082.4</v>
      </c>
      <c r="I55" s="109"/>
      <c r="K55" s="134"/>
      <c r="L55" s="545"/>
      <c r="M55" s="111"/>
      <c r="N55" s="544"/>
    </row>
    <row r="56" spans="1:19" s="92" customFormat="1" ht="13.5" customHeight="1">
      <c r="A56" s="168" t="s">
        <v>75</v>
      </c>
      <c r="B56" s="169" t="s">
        <v>114</v>
      </c>
      <c r="C56" s="89" t="s">
        <v>151</v>
      </c>
      <c r="D56" s="97" t="s">
        <v>152</v>
      </c>
      <c r="E56" s="89" t="s">
        <v>48</v>
      </c>
      <c r="F56" s="98">
        <f>SUM(F57)</f>
        <v>2078.4960000000001</v>
      </c>
      <c r="G56" s="106">
        <v>1275</v>
      </c>
      <c r="H56" s="138">
        <f>F56*G56</f>
        <v>2650082.4</v>
      </c>
      <c r="I56" s="99" t="s">
        <v>49</v>
      </c>
      <c r="J56" s="100"/>
      <c r="K56" s="134"/>
      <c r="L56" s="545"/>
      <c r="M56" s="111"/>
      <c r="N56" s="544"/>
      <c r="O56" s="557"/>
      <c r="P56" s="557"/>
      <c r="Q56" s="557"/>
    </row>
    <row r="57" spans="1:19" s="92" customFormat="1" ht="13.5" customHeight="1">
      <c r="A57" s="168"/>
      <c r="B57" s="169"/>
      <c r="C57" s="89"/>
      <c r="D57" s="80" t="s">
        <v>487</v>
      </c>
      <c r="E57" s="89"/>
      <c r="F57" s="113">
        <f>577.36*3.6</f>
        <v>2078.4960000000001</v>
      </c>
      <c r="G57" s="91"/>
      <c r="H57" s="91"/>
      <c r="I57" s="106"/>
      <c r="J57" s="100"/>
      <c r="K57" s="134"/>
      <c r="L57" s="545"/>
      <c r="M57" s="111"/>
      <c r="N57" s="544"/>
    </row>
    <row r="58" spans="1:19" s="92" customFormat="1" ht="13.5" customHeight="1">
      <c r="A58" s="170"/>
      <c r="B58" s="89"/>
      <c r="C58" s="89"/>
      <c r="D58" s="80" t="s">
        <v>80</v>
      </c>
      <c r="E58" s="89"/>
      <c r="F58" s="142"/>
      <c r="G58" s="91"/>
      <c r="H58" s="91"/>
      <c r="I58" s="106"/>
      <c r="J58" s="100"/>
      <c r="K58" s="134"/>
      <c r="L58" s="545"/>
      <c r="M58" s="111"/>
      <c r="N58" s="544"/>
      <c r="O58" s="112"/>
    </row>
    <row r="59" spans="1:19" s="112" customFormat="1" ht="13.5" customHeight="1">
      <c r="A59" s="171"/>
      <c r="B59" s="158"/>
      <c r="C59" s="158"/>
      <c r="D59" s="158" t="s">
        <v>144</v>
      </c>
      <c r="E59" s="158"/>
      <c r="F59" s="113"/>
      <c r="G59" s="172"/>
      <c r="H59" s="172"/>
      <c r="I59" s="106"/>
      <c r="J59" s="100"/>
      <c r="K59" s="134"/>
      <c r="L59" s="545"/>
      <c r="M59" s="111"/>
      <c r="N59" s="544"/>
    </row>
    <row r="60" spans="1:19" s="112" customFormat="1" ht="13.5" customHeight="1">
      <c r="A60" s="171"/>
      <c r="B60" s="158"/>
      <c r="C60" s="158"/>
      <c r="D60" s="158" t="s">
        <v>145</v>
      </c>
      <c r="E60" s="158"/>
      <c r="F60" s="113"/>
      <c r="G60" s="172"/>
      <c r="H60" s="172"/>
      <c r="I60" s="106"/>
      <c r="J60" s="100"/>
      <c r="K60" s="134"/>
      <c r="L60" s="545"/>
      <c r="M60" s="111"/>
      <c r="N60" s="544"/>
      <c r="S60" s="558"/>
    </row>
    <row r="61" spans="1:19" s="112" customFormat="1" ht="13.5" customHeight="1">
      <c r="A61" s="171"/>
      <c r="B61" s="158"/>
      <c r="C61" s="158"/>
      <c r="D61" s="158" t="s">
        <v>147</v>
      </c>
      <c r="E61" s="158"/>
      <c r="F61" s="113"/>
      <c r="G61" s="172"/>
      <c r="H61" s="172"/>
      <c r="I61" s="173"/>
      <c r="J61" s="100"/>
      <c r="K61" s="134"/>
      <c r="L61" s="545"/>
      <c r="M61" s="111"/>
      <c r="N61" s="544"/>
      <c r="S61" s="558"/>
    </row>
    <row r="62" spans="1:19" s="112" customFormat="1" ht="13.5" customHeight="1">
      <c r="A62" s="171"/>
      <c r="B62" s="158"/>
      <c r="C62" s="158"/>
      <c r="D62" s="80" t="s">
        <v>148</v>
      </c>
      <c r="E62" s="158"/>
      <c r="F62" s="113"/>
      <c r="G62" s="172"/>
      <c r="H62" s="172"/>
      <c r="I62" s="173"/>
      <c r="J62" s="100"/>
      <c r="K62" s="134"/>
      <c r="L62" s="545"/>
      <c r="M62" s="111"/>
      <c r="N62" s="544"/>
    </row>
    <row r="63" spans="1:19" s="112" customFormat="1" ht="27" customHeight="1">
      <c r="A63" s="171"/>
      <c r="B63" s="158"/>
      <c r="C63" s="158"/>
      <c r="D63" s="80" t="s">
        <v>149</v>
      </c>
      <c r="E63" s="158"/>
      <c r="F63" s="113"/>
      <c r="G63" s="172"/>
      <c r="H63" s="172"/>
      <c r="I63" s="173"/>
      <c r="J63" s="100"/>
      <c r="K63" s="134"/>
      <c r="L63" s="545"/>
      <c r="M63" s="111"/>
      <c r="N63" s="544"/>
    </row>
    <row r="64" spans="1:19" s="112" customFormat="1" ht="13.5" customHeight="1">
      <c r="A64" s="171"/>
      <c r="B64" s="158"/>
      <c r="C64" s="158"/>
      <c r="D64" s="158" t="s">
        <v>133</v>
      </c>
      <c r="E64" s="158"/>
      <c r="F64" s="113"/>
      <c r="G64" s="172"/>
      <c r="H64" s="172"/>
      <c r="I64" s="173"/>
      <c r="J64" s="100"/>
      <c r="K64" s="134"/>
      <c r="L64" s="545"/>
      <c r="M64" s="111"/>
      <c r="N64" s="544"/>
    </row>
    <row r="65" spans="1:18" s="112" customFormat="1" ht="13.5" customHeight="1">
      <c r="A65" s="171"/>
      <c r="B65" s="158"/>
      <c r="C65" s="158"/>
      <c r="D65" s="158" t="s">
        <v>150</v>
      </c>
      <c r="E65" s="158"/>
      <c r="F65" s="113"/>
      <c r="G65" s="172"/>
      <c r="H65" s="172"/>
      <c r="I65" s="173"/>
      <c r="J65" s="100"/>
      <c r="K65" s="134"/>
      <c r="L65" s="545"/>
      <c r="M65" s="111"/>
      <c r="N65" s="544"/>
      <c r="P65" s="559"/>
    </row>
    <row r="66" spans="1:18" s="145" customFormat="1" ht="13.5" customHeight="1">
      <c r="A66" s="140"/>
      <c r="B66" s="141"/>
      <c r="C66" s="141"/>
      <c r="D66" s="101" t="s">
        <v>153</v>
      </c>
      <c r="E66" s="141"/>
      <c r="F66" s="160"/>
      <c r="G66" s="143"/>
      <c r="H66" s="143"/>
      <c r="I66" s="159"/>
      <c r="J66" s="100"/>
      <c r="K66" s="134"/>
      <c r="L66" s="545"/>
      <c r="M66" s="111"/>
      <c r="N66" s="544"/>
    </row>
    <row r="67" spans="1:18" s="100" customFormat="1" ht="13.5" customHeight="1">
      <c r="A67" s="146"/>
      <c r="B67" s="147"/>
      <c r="C67" s="147" t="s">
        <v>78</v>
      </c>
      <c r="D67" s="147" t="s">
        <v>87</v>
      </c>
      <c r="E67" s="147"/>
      <c r="F67" s="148"/>
      <c r="G67" s="149"/>
      <c r="H67" s="149">
        <f>SUM(H68:H72)</f>
        <v>328570.19999999995</v>
      </c>
      <c r="I67" s="150"/>
      <c r="J67" s="529"/>
      <c r="K67" s="134"/>
      <c r="L67" s="545"/>
      <c r="M67" s="111"/>
      <c r="N67" s="544"/>
      <c r="Q67" s="560"/>
    </row>
    <row r="68" spans="1:18" s="100" customFormat="1" ht="13.5" customHeight="1">
      <c r="A68" s="96">
        <v>7</v>
      </c>
      <c r="B68" s="105" t="s">
        <v>176</v>
      </c>
      <c r="C68" s="97" t="s">
        <v>185</v>
      </c>
      <c r="D68" s="97" t="s">
        <v>186</v>
      </c>
      <c r="E68" s="97" t="s">
        <v>48</v>
      </c>
      <c r="F68" s="98">
        <f>F70</f>
        <v>1564.62</v>
      </c>
      <c r="G68" s="106">
        <v>60</v>
      </c>
      <c r="H68" s="133">
        <f>F68*G68</f>
        <v>93877.2</v>
      </c>
      <c r="I68" s="99" t="s">
        <v>49</v>
      </c>
      <c r="K68" s="134"/>
      <c r="L68" s="545"/>
      <c r="M68" s="111"/>
      <c r="N68" s="544"/>
    </row>
    <row r="69" spans="1:18" s="145" customFormat="1" ht="13.5" customHeight="1">
      <c r="A69" s="140"/>
      <c r="B69" s="141"/>
      <c r="C69" s="141"/>
      <c r="D69" s="101" t="s">
        <v>187</v>
      </c>
      <c r="E69" s="141"/>
      <c r="F69" s="161"/>
      <c r="G69" s="143"/>
      <c r="H69" s="143"/>
      <c r="I69" s="159"/>
      <c r="K69" s="134"/>
      <c r="L69" s="545"/>
      <c r="M69" s="111"/>
      <c r="N69" s="544"/>
    </row>
    <row r="70" spans="1:18" s="145" customFormat="1" ht="13.5" customHeight="1">
      <c r="A70" s="140"/>
      <c r="B70" s="141"/>
      <c r="C70" s="141"/>
      <c r="D70" s="101" t="s">
        <v>587</v>
      </c>
      <c r="E70" s="141"/>
      <c r="F70" s="113">
        <f>1564.62</f>
        <v>1564.62</v>
      </c>
      <c r="G70" s="143"/>
      <c r="H70" s="143"/>
      <c r="I70" s="159"/>
      <c r="K70" s="134"/>
      <c r="L70" s="545"/>
      <c r="M70" s="111"/>
      <c r="N70" s="544"/>
    </row>
    <row r="71" spans="1:18" s="100" customFormat="1" ht="13.5" customHeight="1">
      <c r="A71" s="96">
        <v>8</v>
      </c>
      <c r="B71" s="105" t="s">
        <v>114</v>
      </c>
      <c r="C71" s="97" t="s">
        <v>188</v>
      </c>
      <c r="D71" s="97" t="s">
        <v>189</v>
      </c>
      <c r="E71" s="97" t="s">
        <v>48</v>
      </c>
      <c r="F71" s="98">
        <f>F72</f>
        <v>1564.62</v>
      </c>
      <c r="G71" s="106">
        <v>150</v>
      </c>
      <c r="H71" s="133">
        <f>F71*G71</f>
        <v>234692.99999999997</v>
      </c>
      <c r="I71" s="99" t="s">
        <v>49</v>
      </c>
      <c r="K71" s="134"/>
      <c r="L71" s="545"/>
      <c r="M71" s="111"/>
      <c r="N71" s="544"/>
    </row>
    <row r="72" spans="1:18" s="145" customFormat="1" ht="13.5" customHeight="1">
      <c r="A72" s="140"/>
      <c r="B72" s="141"/>
      <c r="C72" s="141"/>
      <c r="D72" s="101" t="s">
        <v>587</v>
      </c>
      <c r="E72" s="141"/>
      <c r="F72" s="113">
        <f>1564.62</f>
        <v>1564.62</v>
      </c>
      <c r="G72" s="143"/>
      <c r="H72" s="143"/>
      <c r="I72" s="159"/>
      <c r="K72" s="134"/>
      <c r="L72" s="545"/>
      <c r="M72" s="111"/>
      <c r="N72" s="544"/>
    </row>
    <row r="73" spans="1:18" s="100" customFormat="1" ht="13.5" customHeight="1">
      <c r="A73" s="146"/>
      <c r="B73" s="147"/>
      <c r="C73" s="147" t="s">
        <v>52</v>
      </c>
      <c r="D73" s="147" t="s">
        <v>53</v>
      </c>
      <c r="E73" s="147"/>
      <c r="F73" s="191"/>
      <c r="G73" s="149"/>
      <c r="H73" s="149">
        <f>SUM(H74:H75)</f>
        <v>1440000</v>
      </c>
      <c r="I73" s="109"/>
      <c r="K73" s="134"/>
      <c r="L73" s="545"/>
      <c r="M73" s="111"/>
      <c r="N73" s="544"/>
      <c r="Q73" s="561"/>
    </row>
    <row r="74" spans="1:18" s="100" customFormat="1" ht="13.5" customHeight="1">
      <c r="A74" s="192">
        <v>9</v>
      </c>
      <c r="B74" s="105" t="s">
        <v>114</v>
      </c>
      <c r="C74" s="97" t="s">
        <v>83</v>
      </c>
      <c r="D74" s="97" t="s">
        <v>190</v>
      </c>
      <c r="E74" s="193" t="s">
        <v>23</v>
      </c>
      <c r="F74" s="194">
        <f>SUM(F75)</f>
        <v>1</v>
      </c>
      <c r="G74" s="106">
        <v>1440000</v>
      </c>
      <c r="H74" s="133">
        <f>F74*G74</f>
        <v>1440000</v>
      </c>
      <c r="I74" s="99" t="s">
        <v>58</v>
      </c>
      <c r="J74" s="562"/>
      <c r="K74" s="134"/>
      <c r="L74" s="545"/>
      <c r="M74" s="111"/>
      <c r="N74" s="544"/>
      <c r="Q74" s="561"/>
    </row>
    <row r="75" spans="1:18" s="100" customFormat="1" ht="13.5" customHeight="1">
      <c r="A75" s="192"/>
      <c r="B75" s="105"/>
      <c r="C75" s="97"/>
      <c r="D75" s="101" t="s">
        <v>191</v>
      </c>
      <c r="E75" s="193"/>
      <c r="F75" s="162">
        <v>1</v>
      </c>
      <c r="G75" s="106"/>
      <c r="H75" s="381"/>
      <c r="I75" s="99"/>
      <c r="K75" s="134"/>
      <c r="L75" s="545"/>
      <c r="M75" s="111"/>
      <c r="N75" s="544"/>
    </row>
    <row r="76" spans="1:18" s="134" customFormat="1" ht="21" customHeight="1">
      <c r="A76" s="198"/>
      <c r="B76" s="199"/>
      <c r="C76" s="199" t="s">
        <v>55</v>
      </c>
      <c r="D76" s="199" t="s">
        <v>56</v>
      </c>
      <c r="E76" s="199"/>
      <c r="F76" s="200"/>
      <c r="G76" s="201"/>
      <c r="H76" s="201">
        <f>H77+H89+H105+H139+H145+H157+H151+H163+H172+H208+H234+H267+H282+H297+H312+H326+H341+H355+H223</f>
        <v>22960043.036000002</v>
      </c>
      <c r="I76" s="202"/>
      <c r="J76" s="563"/>
      <c r="N76" s="530"/>
    </row>
    <row r="77" spans="1:18" s="100" customFormat="1" ht="13.5" customHeight="1">
      <c r="A77" s="146"/>
      <c r="B77" s="147"/>
      <c r="C77" s="147" t="s">
        <v>192</v>
      </c>
      <c r="D77" s="147" t="s">
        <v>88</v>
      </c>
      <c r="E77" s="147"/>
      <c r="F77" s="148"/>
      <c r="G77" s="149"/>
      <c r="H77" s="382">
        <f>SUM(H78:H88)</f>
        <v>626960</v>
      </c>
      <c r="I77" s="109"/>
      <c r="J77" s="564"/>
      <c r="K77" s="134"/>
    </row>
    <row r="78" spans="1:18" s="100" customFormat="1" ht="13.5" customHeight="1">
      <c r="A78" s="165">
        <v>10</v>
      </c>
      <c r="B78" s="97">
        <v>711</v>
      </c>
      <c r="C78" s="97" t="s">
        <v>193</v>
      </c>
      <c r="D78" s="97" t="s">
        <v>547</v>
      </c>
      <c r="E78" s="97" t="s">
        <v>23</v>
      </c>
      <c r="F78" s="98">
        <f>SUM(F79:F79)</f>
        <v>1</v>
      </c>
      <c r="G78" s="98">
        <v>620000</v>
      </c>
      <c r="H78" s="133">
        <f>F78*G78</f>
        <v>620000</v>
      </c>
      <c r="I78" s="99" t="s">
        <v>49</v>
      </c>
      <c r="J78" s="565"/>
      <c r="K78" s="134"/>
    </row>
    <row r="79" spans="1:18" s="186" customFormat="1" ht="13.5" customHeight="1">
      <c r="A79" s="135"/>
      <c r="B79" s="189"/>
      <c r="C79" s="189"/>
      <c r="D79" s="185" t="s">
        <v>611</v>
      </c>
      <c r="E79" s="189"/>
      <c r="F79" s="113">
        <v>1</v>
      </c>
      <c r="G79" s="190"/>
      <c r="H79" s="138"/>
      <c r="I79" s="188"/>
      <c r="J79" s="532"/>
      <c r="K79" s="134"/>
      <c r="N79" s="530"/>
      <c r="R79" s="134"/>
    </row>
    <row r="80" spans="1:18" s="186" customFormat="1" ht="13.5" customHeight="1">
      <c r="A80" s="135"/>
      <c r="B80" s="189"/>
      <c r="C80" s="189"/>
      <c r="D80" s="185" t="s">
        <v>80</v>
      </c>
      <c r="E80" s="189"/>
      <c r="F80" s="187"/>
      <c r="G80" s="190"/>
      <c r="H80" s="138"/>
      <c r="I80" s="188"/>
      <c r="J80" s="532"/>
      <c r="K80" s="134"/>
      <c r="N80" s="530"/>
      <c r="R80" s="134"/>
    </row>
    <row r="81" spans="1:19" s="134" customFormat="1" ht="13.5" customHeight="1">
      <c r="A81" s="135"/>
      <c r="B81" s="136"/>
      <c r="C81" s="136"/>
      <c r="D81" s="185" t="s">
        <v>196</v>
      </c>
      <c r="E81" s="136"/>
      <c r="F81" s="184"/>
      <c r="G81" s="138"/>
      <c r="H81" s="138"/>
      <c r="I81" s="188"/>
      <c r="J81" s="566"/>
      <c r="L81" s="186"/>
      <c r="N81" s="530"/>
    </row>
    <row r="82" spans="1:19" s="134" customFormat="1" ht="13.5" customHeight="1">
      <c r="A82" s="135"/>
      <c r="B82" s="136"/>
      <c r="C82" s="136"/>
      <c r="D82" s="185" t="s">
        <v>197</v>
      </c>
      <c r="E82" s="136"/>
      <c r="F82" s="184"/>
      <c r="G82" s="138"/>
      <c r="H82" s="138"/>
      <c r="I82" s="188"/>
      <c r="J82" s="567"/>
      <c r="N82" s="530"/>
      <c r="O82" s="186"/>
    </row>
    <row r="83" spans="1:19" s="134" customFormat="1" ht="27" customHeight="1">
      <c r="A83" s="135"/>
      <c r="B83" s="136"/>
      <c r="C83" s="136"/>
      <c r="D83" s="185" t="s">
        <v>198</v>
      </c>
      <c r="E83" s="136"/>
      <c r="F83" s="184"/>
      <c r="G83" s="138"/>
      <c r="H83" s="138"/>
      <c r="I83" s="188"/>
      <c r="J83" s="112"/>
      <c r="L83" s="186"/>
      <c r="N83" s="530"/>
    </row>
    <row r="84" spans="1:19" s="186" customFormat="1" ht="13.5" customHeight="1">
      <c r="A84" s="135"/>
      <c r="B84" s="189"/>
      <c r="C84" s="189"/>
      <c r="D84" s="185" t="s">
        <v>82</v>
      </c>
      <c r="E84" s="189"/>
      <c r="F84" s="137"/>
      <c r="G84" s="190"/>
      <c r="H84" s="138"/>
      <c r="I84" s="188"/>
      <c r="J84" s="134"/>
      <c r="K84" s="134"/>
      <c r="N84" s="530"/>
      <c r="R84" s="134"/>
    </row>
    <row r="85" spans="1:19" s="100" customFormat="1" ht="13.5" customHeight="1">
      <c r="A85" s="146"/>
      <c r="B85" s="147"/>
      <c r="C85" s="147"/>
      <c r="D85" s="185" t="s">
        <v>199</v>
      </c>
      <c r="E85" s="147"/>
      <c r="F85" s="148"/>
      <c r="G85" s="149"/>
      <c r="H85" s="382"/>
      <c r="I85" s="109"/>
      <c r="K85" s="134"/>
    </row>
    <row r="86" spans="1:19" s="100" customFormat="1" ht="13.5" customHeight="1">
      <c r="A86" s="165">
        <v>11</v>
      </c>
      <c r="B86" s="97" t="s">
        <v>54</v>
      </c>
      <c r="C86" s="97" t="s">
        <v>200</v>
      </c>
      <c r="D86" s="97" t="s">
        <v>201</v>
      </c>
      <c r="E86" s="97" t="s">
        <v>44</v>
      </c>
      <c r="F86" s="98">
        <f>F87</f>
        <v>15</v>
      </c>
      <c r="G86" s="98">
        <v>464</v>
      </c>
      <c r="H86" s="133">
        <f>F86*G86</f>
        <v>6960</v>
      </c>
      <c r="I86" s="99" t="s">
        <v>45</v>
      </c>
      <c r="J86" s="568"/>
      <c r="K86" s="134"/>
    </row>
    <row r="87" spans="1:19" s="111" customFormat="1" ht="13.5" customHeight="1">
      <c r="A87" s="165"/>
      <c r="B87" s="105"/>
      <c r="C87" s="97"/>
      <c r="D87" s="101" t="s">
        <v>202</v>
      </c>
      <c r="E87" s="97"/>
      <c r="F87" s="113">
        <v>15</v>
      </c>
      <c r="G87" s="98"/>
      <c r="H87" s="98"/>
      <c r="I87" s="99"/>
      <c r="K87" s="134"/>
    </row>
    <row r="88" spans="1:19" s="111" customFormat="1" ht="27" customHeight="1">
      <c r="A88" s="165"/>
      <c r="B88" s="105"/>
      <c r="C88" s="97"/>
      <c r="D88" s="101" t="s">
        <v>203</v>
      </c>
      <c r="E88" s="97"/>
      <c r="F88" s="113"/>
      <c r="G88" s="98"/>
      <c r="H88" s="98"/>
      <c r="I88" s="99"/>
      <c r="K88" s="134"/>
    </row>
    <row r="89" spans="1:19" s="100" customFormat="1" ht="13.5" customHeight="1">
      <c r="A89" s="146"/>
      <c r="B89" s="147"/>
      <c r="C89" s="147">
        <v>712</v>
      </c>
      <c r="D89" s="147" t="s">
        <v>89</v>
      </c>
      <c r="E89" s="147"/>
      <c r="F89" s="191"/>
      <c r="G89" s="149"/>
      <c r="H89" s="149">
        <f>SUM(H90:H104)</f>
        <v>1280910</v>
      </c>
      <c r="I89" s="109"/>
      <c r="K89" s="134"/>
    </row>
    <row r="90" spans="1:19" s="78" customFormat="1" ht="13.5" customHeight="1">
      <c r="A90" s="508" t="s">
        <v>643</v>
      </c>
      <c r="B90" s="509" t="s">
        <v>204</v>
      </c>
      <c r="C90" s="510" t="s">
        <v>205</v>
      </c>
      <c r="D90" s="510" t="s">
        <v>206</v>
      </c>
      <c r="E90" s="510" t="s">
        <v>48</v>
      </c>
      <c r="F90" s="511">
        <f>SUM(F91:F91)</f>
        <v>283.10000000000002</v>
      </c>
      <c r="G90" s="512">
        <v>4500</v>
      </c>
      <c r="H90" s="439">
        <f>F90*G90</f>
        <v>1273950</v>
      </c>
      <c r="I90" s="438" t="s">
        <v>49</v>
      </c>
      <c r="K90" s="134"/>
    </row>
    <row r="91" spans="1:19" s="78" customFormat="1" ht="13.5" customHeight="1">
      <c r="A91" s="508"/>
      <c r="B91" s="509"/>
      <c r="C91" s="510"/>
      <c r="D91" s="436" t="s">
        <v>497</v>
      </c>
      <c r="E91" s="436"/>
      <c r="F91" s="513">
        <v>283.10000000000002</v>
      </c>
      <c r="G91" s="512"/>
      <c r="H91" s="439"/>
      <c r="I91" s="439"/>
      <c r="J91" s="438"/>
      <c r="K91" s="134"/>
    </row>
    <row r="92" spans="1:19" s="186" customFormat="1" ht="13.5" customHeight="1">
      <c r="A92" s="130"/>
      <c r="B92" s="435"/>
      <c r="C92" s="435"/>
      <c r="D92" s="436" t="s">
        <v>80</v>
      </c>
      <c r="E92" s="435"/>
      <c r="F92" s="187"/>
      <c r="G92" s="437"/>
      <c r="H92" s="133"/>
      <c r="I92" s="133"/>
      <c r="J92" s="438"/>
      <c r="K92" s="134"/>
      <c r="L92" s="572"/>
      <c r="O92" s="530"/>
      <c r="S92" s="134"/>
    </row>
    <row r="93" spans="1:19" s="134" customFormat="1" ht="13.5" customHeight="1">
      <c r="A93" s="130"/>
      <c r="B93" s="131"/>
      <c r="C93" s="131"/>
      <c r="D93" s="436" t="s">
        <v>207</v>
      </c>
      <c r="E93" s="131"/>
      <c r="F93" s="132"/>
      <c r="G93" s="133"/>
      <c r="H93" s="133"/>
      <c r="I93" s="133"/>
      <c r="J93" s="573"/>
      <c r="L93" s="572"/>
      <c r="M93" s="186"/>
      <c r="O93" s="530"/>
    </row>
    <row r="94" spans="1:19" s="134" customFormat="1" ht="27" customHeight="1">
      <c r="A94" s="130"/>
      <c r="B94" s="131"/>
      <c r="C94" s="131"/>
      <c r="D94" s="436" t="s">
        <v>208</v>
      </c>
      <c r="E94" s="131"/>
      <c r="F94" s="132"/>
      <c r="G94" s="133"/>
      <c r="H94" s="133"/>
      <c r="I94" s="133"/>
      <c r="J94" s="573"/>
      <c r="L94" s="572"/>
      <c r="M94" s="186"/>
      <c r="O94" s="530"/>
    </row>
    <row r="95" spans="1:19" s="134" customFormat="1" ht="13.5" customHeight="1">
      <c r="A95" s="130"/>
      <c r="B95" s="131"/>
      <c r="C95" s="131"/>
      <c r="D95" s="436" t="s">
        <v>209</v>
      </c>
      <c r="E95" s="131"/>
      <c r="F95" s="132"/>
      <c r="G95" s="133"/>
      <c r="H95" s="133"/>
      <c r="I95" s="133"/>
      <c r="J95" s="573"/>
      <c r="L95" s="572"/>
      <c r="M95" s="186"/>
      <c r="O95" s="530"/>
    </row>
    <row r="96" spans="1:19" s="134" customFormat="1" ht="13.5" customHeight="1">
      <c r="A96" s="130"/>
      <c r="B96" s="131"/>
      <c r="C96" s="131"/>
      <c r="D96" s="436" t="s">
        <v>210</v>
      </c>
      <c r="E96" s="131"/>
      <c r="F96" s="132"/>
      <c r="G96" s="133"/>
      <c r="H96" s="133"/>
      <c r="I96" s="133"/>
      <c r="J96" s="573"/>
      <c r="L96" s="572"/>
      <c r="M96" s="186"/>
      <c r="O96" s="530"/>
    </row>
    <row r="97" spans="1:19" s="134" customFormat="1" ht="13.5" customHeight="1">
      <c r="A97" s="130"/>
      <c r="B97" s="131"/>
      <c r="C97" s="131"/>
      <c r="D97" s="436" t="s">
        <v>197</v>
      </c>
      <c r="E97" s="131"/>
      <c r="F97" s="132"/>
      <c r="G97" s="133"/>
      <c r="H97" s="133"/>
      <c r="I97" s="133"/>
      <c r="J97" s="573"/>
      <c r="L97" s="572"/>
      <c r="O97" s="530"/>
      <c r="P97" s="186"/>
    </row>
    <row r="98" spans="1:19" s="134" customFormat="1" ht="13.5" customHeight="1">
      <c r="A98" s="130"/>
      <c r="B98" s="131"/>
      <c r="C98" s="131"/>
      <c r="D98" s="436" t="s">
        <v>211</v>
      </c>
      <c r="E98" s="131"/>
      <c r="F98" s="132"/>
      <c r="G98" s="133"/>
      <c r="H98" s="133"/>
      <c r="I98" s="133"/>
      <c r="J98" s="573"/>
      <c r="L98" s="572"/>
      <c r="O98" s="530"/>
      <c r="P98" s="186"/>
    </row>
    <row r="99" spans="1:19" s="134" customFormat="1" ht="27" customHeight="1">
      <c r="A99" s="130"/>
      <c r="B99" s="131"/>
      <c r="C99" s="131"/>
      <c r="D99" s="436" t="s">
        <v>212</v>
      </c>
      <c r="E99" s="131"/>
      <c r="F99" s="132"/>
      <c r="G99" s="133"/>
      <c r="H99" s="133"/>
      <c r="I99" s="133"/>
      <c r="J99" s="573"/>
      <c r="L99" s="572"/>
      <c r="M99" s="186"/>
      <c r="O99" s="530"/>
    </row>
    <row r="100" spans="1:19" s="186" customFormat="1" ht="13.5" customHeight="1">
      <c r="A100" s="130"/>
      <c r="B100" s="435"/>
      <c r="C100" s="435"/>
      <c r="D100" s="436" t="s">
        <v>82</v>
      </c>
      <c r="E100" s="435"/>
      <c r="F100" s="514"/>
      <c r="G100" s="437"/>
      <c r="H100" s="133"/>
      <c r="I100" s="133"/>
      <c r="J100" s="573"/>
      <c r="K100" s="134"/>
      <c r="L100" s="572"/>
      <c r="O100" s="530"/>
      <c r="S100" s="134"/>
    </row>
    <row r="101" spans="1:19" s="78" customFormat="1" ht="13.5" customHeight="1">
      <c r="A101" s="515"/>
      <c r="B101" s="516"/>
      <c r="C101" s="516"/>
      <c r="D101" s="436" t="s">
        <v>213</v>
      </c>
      <c r="E101" s="516"/>
      <c r="F101" s="517"/>
      <c r="G101" s="518"/>
      <c r="H101" s="519"/>
      <c r="I101" s="519"/>
      <c r="J101" s="575"/>
      <c r="K101" s="134"/>
    </row>
    <row r="102" spans="1:19" s="216" customFormat="1" ht="13.5" customHeight="1">
      <c r="A102" s="213">
        <v>13</v>
      </c>
      <c r="B102" s="73" t="s">
        <v>54</v>
      </c>
      <c r="C102" s="73" t="s">
        <v>200</v>
      </c>
      <c r="D102" s="73" t="s">
        <v>201</v>
      </c>
      <c r="E102" s="73" t="s">
        <v>44</v>
      </c>
      <c r="F102" s="214">
        <f>F103</f>
        <v>15</v>
      </c>
      <c r="G102" s="215">
        <v>464</v>
      </c>
      <c r="H102" s="133">
        <f>F102*G102</f>
        <v>6960</v>
      </c>
      <c r="I102" s="196" t="s">
        <v>45</v>
      </c>
      <c r="K102" s="134"/>
    </row>
    <row r="103" spans="1:19" s="78" customFormat="1" ht="13.5" customHeight="1">
      <c r="A103" s="217"/>
      <c r="B103" s="218"/>
      <c r="C103" s="218"/>
      <c r="D103" s="76" t="s">
        <v>214</v>
      </c>
      <c r="E103" s="218"/>
      <c r="F103" s="219">
        <v>15</v>
      </c>
      <c r="G103" s="220"/>
      <c r="H103" s="215"/>
      <c r="I103" s="212"/>
      <c r="K103" s="134"/>
    </row>
    <row r="104" spans="1:19" s="78" customFormat="1" ht="13.5" customHeight="1">
      <c r="A104" s="217"/>
      <c r="B104" s="218"/>
      <c r="C104" s="218"/>
      <c r="D104" s="76" t="s">
        <v>64</v>
      </c>
      <c r="E104" s="218"/>
      <c r="F104" s="219"/>
      <c r="G104" s="220"/>
      <c r="H104" s="215"/>
      <c r="I104" s="212"/>
      <c r="K104" s="134"/>
    </row>
    <row r="105" spans="1:19" s="100" customFormat="1" ht="13.5" customHeight="1">
      <c r="A105" s="146"/>
      <c r="B105" s="147"/>
      <c r="C105" s="147">
        <v>713</v>
      </c>
      <c r="D105" s="147" t="s">
        <v>90</v>
      </c>
      <c r="E105" s="147"/>
      <c r="F105" s="191"/>
      <c r="G105" s="149"/>
      <c r="H105" s="149">
        <f>SUM(H106:H138)</f>
        <v>3030441</v>
      </c>
      <c r="I105" s="109"/>
      <c r="J105" s="576"/>
      <c r="K105" s="134"/>
    </row>
    <row r="106" spans="1:19" s="221" customFormat="1" ht="13.5" customHeight="1">
      <c r="A106" s="213">
        <v>14</v>
      </c>
      <c r="B106" s="73">
        <v>713</v>
      </c>
      <c r="C106" s="73" t="s">
        <v>215</v>
      </c>
      <c r="D106" s="73" t="s">
        <v>216</v>
      </c>
      <c r="E106" s="73" t="s">
        <v>48</v>
      </c>
      <c r="F106" s="205">
        <f>F107</f>
        <v>1204.2</v>
      </c>
      <c r="G106" s="206">
        <v>2230</v>
      </c>
      <c r="H106" s="133">
        <f>F106*G106</f>
        <v>2685366</v>
      </c>
      <c r="I106" s="196" t="s">
        <v>49</v>
      </c>
      <c r="J106" s="100"/>
      <c r="K106" s="134"/>
      <c r="L106" s="577"/>
      <c r="M106" s="537"/>
      <c r="N106" s="539"/>
      <c r="O106" s="557"/>
      <c r="P106" s="557"/>
    </row>
    <row r="107" spans="1:19" s="221" customFormat="1" ht="13.5" customHeight="1">
      <c r="A107" s="213"/>
      <c r="B107" s="73"/>
      <c r="C107" s="73"/>
      <c r="D107" s="76" t="s">
        <v>522</v>
      </c>
      <c r="E107" s="73"/>
      <c r="F107" s="113">
        <f>133.8*9</f>
        <v>1204.2</v>
      </c>
      <c r="G107" s="206"/>
      <c r="H107" s="215"/>
      <c r="I107" s="196"/>
      <c r="J107" s="100"/>
      <c r="K107" s="134"/>
      <c r="L107" s="577"/>
      <c r="M107" s="537"/>
      <c r="N107" s="111"/>
      <c r="O107" s="578"/>
      <c r="P107" s="92"/>
    </row>
    <row r="108" spans="1:19" s="78" customFormat="1" ht="13.5" customHeight="1">
      <c r="A108" s="217"/>
      <c r="B108" s="218"/>
      <c r="C108" s="218"/>
      <c r="D108" s="76" t="s">
        <v>80</v>
      </c>
      <c r="E108" s="218"/>
      <c r="F108" s="205"/>
      <c r="G108" s="220"/>
      <c r="H108" s="215"/>
      <c r="I108" s="196"/>
      <c r="J108" s="100"/>
      <c r="K108" s="134"/>
      <c r="L108" s="538"/>
      <c r="M108" s="537"/>
      <c r="N108" s="539"/>
      <c r="O108" s="92"/>
      <c r="P108" s="92"/>
    </row>
    <row r="109" spans="1:19" s="216" customFormat="1" ht="13.5" customHeight="1">
      <c r="A109" s="222"/>
      <c r="B109" s="204"/>
      <c r="C109" s="73"/>
      <c r="D109" s="76" t="s">
        <v>217</v>
      </c>
      <c r="E109" s="77"/>
      <c r="F109" s="77"/>
      <c r="G109" s="223"/>
      <c r="H109" s="223"/>
      <c r="I109" s="196"/>
      <c r="J109" s="100"/>
      <c r="K109" s="134"/>
      <c r="L109" s="538"/>
      <c r="M109" s="537"/>
      <c r="N109" s="111"/>
      <c r="O109" s="112"/>
      <c r="P109" s="112"/>
    </row>
    <row r="110" spans="1:19" s="216" customFormat="1" ht="13.5" customHeight="1">
      <c r="A110" s="222"/>
      <c r="B110" s="204"/>
      <c r="C110" s="73"/>
      <c r="D110" s="76" t="s">
        <v>218</v>
      </c>
      <c r="E110" s="77"/>
      <c r="F110" s="77"/>
      <c r="G110" s="223"/>
      <c r="H110" s="223"/>
      <c r="I110" s="196"/>
      <c r="J110" s="100"/>
      <c r="K110" s="134"/>
      <c r="L110" s="577"/>
      <c r="M110" s="537"/>
      <c r="N110" s="111"/>
      <c r="O110" s="112"/>
      <c r="P110" s="112"/>
    </row>
    <row r="111" spans="1:19" s="216" customFormat="1" ht="13.5" customHeight="1">
      <c r="A111" s="222"/>
      <c r="B111" s="204"/>
      <c r="C111" s="73"/>
      <c r="D111" s="76" t="s">
        <v>219</v>
      </c>
      <c r="E111" s="77"/>
      <c r="F111" s="219"/>
      <c r="G111" s="223"/>
      <c r="H111" s="223"/>
      <c r="I111" s="224"/>
      <c r="K111" s="134"/>
    </row>
    <row r="112" spans="1:19" s="216" customFormat="1" ht="13.5" customHeight="1">
      <c r="A112" s="222"/>
      <c r="B112" s="204"/>
      <c r="C112" s="73"/>
      <c r="D112" s="76" t="s">
        <v>220</v>
      </c>
      <c r="E112" s="77"/>
      <c r="F112" s="219"/>
      <c r="G112" s="223"/>
      <c r="H112" s="223"/>
      <c r="I112" s="224"/>
      <c r="K112" s="134"/>
    </row>
    <row r="113" spans="1:18" s="226" customFormat="1" ht="13.5" customHeight="1">
      <c r="A113" s="203"/>
      <c r="B113" s="225"/>
      <c r="C113" s="225"/>
      <c r="D113" s="76" t="s">
        <v>221</v>
      </c>
      <c r="E113" s="225"/>
      <c r="G113" s="227"/>
      <c r="H113" s="215"/>
      <c r="I113" s="196"/>
      <c r="J113" s="78"/>
      <c r="K113" s="134"/>
    </row>
    <row r="114" spans="1:18" s="186" customFormat="1" ht="13.5" customHeight="1">
      <c r="A114" s="135"/>
      <c r="B114" s="189"/>
      <c r="C114" s="189"/>
      <c r="D114" s="185" t="s">
        <v>82</v>
      </c>
      <c r="E114" s="189"/>
      <c r="F114" s="137"/>
      <c r="G114" s="190"/>
      <c r="H114" s="138"/>
      <c r="I114" s="188"/>
      <c r="J114" s="134"/>
      <c r="K114" s="134"/>
      <c r="N114" s="530"/>
      <c r="R114" s="134"/>
    </row>
    <row r="115" spans="1:18" s="78" customFormat="1" ht="13.5" customHeight="1">
      <c r="A115" s="208"/>
      <c r="B115" s="209"/>
      <c r="C115" s="209"/>
      <c r="D115" s="185" t="s">
        <v>222</v>
      </c>
      <c r="E115" s="209"/>
      <c r="F115" s="210"/>
      <c r="G115" s="211"/>
      <c r="H115" s="382"/>
      <c r="I115" s="212"/>
      <c r="K115" s="134"/>
    </row>
    <row r="116" spans="1:18" s="78" customFormat="1" ht="13.5" customHeight="1">
      <c r="A116" s="213">
        <v>15</v>
      </c>
      <c r="B116" s="73">
        <v>713</v>
      </c>
      <c r="C116" s="73" t="s">
        <v>223</v>
      </c>
      <c r="D116" s="73" t="s">
        <v>224</v>
      </c>
      <c r="E116" s="73" t="s">
        <v>48</v>
      </c>
      <c r="F116" s="205">
        <f>F117</f>
        <v>40.14</v>
      </c>
      <c r="G116" s="206">
        <v>2460</v>
      </c>
      <c r="H116" s="133">
        <f>F116*G116</f>
        <v>98744.4</v>
      </c>
      <c r="I116" s="196" t="s">
        <v>49</v>
      </c>
      <c r="J116" s="581"/>
      <c r="K116" s="134"/>
    </row>
    <row r="117" spans="1:18" s="221" customFormat="1" ht="13.5" customHeight="1">
      <c r="A117" s="213"/>
      <c r="B117" s="73"/>
      <c r="C117" s="73"/>
      <c r="D117" s="76" t="s">
        <v>523</v>
      </c>
      <c r="E117" s="73"/>
      <c r="F117" s="113">
        <f>133.8*0.3</f>
        <v>40.14</v>
      </c>
      <c r="G117" s="206"/>
      <c r="H117" s="215"/>
      <c r="I117" s="196"/>
      <c r="J117" s="581"/>
      <c r="K117" s="134"/>
    </row>
    <row r="118" spans="1:18" s="78" customFormat="1" ht="13.5" customHeight="1">
      <c r="A118" s="217"/>
      <c r="B118" s="218"/>
      <c r="C118" s="218"/>
      <c r="D118" s="76" t="s">
        <v>80</v>
      </c>
      <c r="E118" s="218"/>
      <c r="F118" s="205"/>
      <c r="G118" s="220"/>
      <c r="H118" s="215"/>
      <c r="I118" s="196"/>
      <c r="J118" s="582"/>
      <c r="K118" s="134"/>
    </row>
    <row r="119" spans="1:18" s="216" customFormat="1" ht="13.5" customHeight="1">
      <c r="A119" s="222"/>
      <c r="B119" s="204"/>
      <c r="C119" s="73"/>
      <c r="D119" s="76" t="s">
        <v>217</v>
      </c>
      <c r="E119" s="77"/>
      <c r="F119" s="77"/>
      <c r="G119" s="223"/>
      <c r="H119" s="223"/>
      <c r="I119" s="196"/>
      <c r="J119" s="583"/>
      <c r="K119" s="134"/>
    </row>
    <row r="120" spans="1:18" s="78" customFormat="1" ht="13.5" customHeight="1">
      <c r="A120" s="222"/>
      <c r="B120" s="204"/>
      <c r="C120" s="73"/>
      <c r="D120" s="76" t="s">
        <v>225</v>
      </c>
      <c r="E120" s="77"/>
      <c r="F120" s="205"/>
      <c r="G120" s="223"/>
      <c r="H120" s="223"/>
      <c r="I120" s="196"/>
      <c r="J120" s="583"/>
      <c r="K120" s="134"/>
    </row>
    <row r="121" spans="1:18" s="78" customFormat="1" ht="13.5" customHeight="1">
      <c r="A121" s="222"/>
      <c r="B121" s="204"/>
      <c r="C121" s="73"/>
      <c r="D121" s="76" t="s">
        <v>219</v>
      </c>
      <c r="E121" s="77"/>
      <c r="F121" s="219"/>
      <c r="G121" s="223"/>
      <c r="H121" s="223"/>
      <c r="I121" s="224"/>
      <c r="J121" s="583"/>
      <c r="K121" s="134"/>
    </row>
    <row r="122" spans="1:18" s="78" customFormat="1" ht="13.5" customHeight="1">
      <c r="A122" s="222"/>
      <c r="B122" s="204"/>
      <c r="C122" s="73"/>
      <c r="D122" s="76" t="s">
        <v>220</v>
      </c>
      <c r="E122" s="77"/>
      <c r="F122" s="219"/>
      <c r="G122" s="223"/>
      <c r="H122" s="223"/>
      <c r="I122" s="224"/>
      <c r="K122" s="134"/>
    </row>
    <row r="123" spans="1:18" s="78" customFormat="1" ht="13.5" customHeight="1">
      <c r="A123" s="203"/>
      <c r="B123" s="225"/>
      <c r="C123" s="225"/>
      <c r="D123" s="76" t="s">
        <v>226</v>
      </c>
      <c r="E123" s="225"/>
      <c r="F123" s="226"/>
      <c r="G123" s="227"/>
      <c r="H123" s="215"/>
      <c r="I123" s="196"/>
      <c r="K123" s="134"/>
    </row>
    <row r="124" spans="1:18" s="78" customFormat="1" ht="13.5" customHeight="1">
      <c r="A124" s="135"/>
      <c r="B124" s="189"/>
      <c r="C124" s="189"/>
      <c r="D124" s="185" t="s">
        <v>82</v>
      </c>
      <c r="E124" s="189"/>
      <c r="F124" s="137"/>
      <c r="G124" s="190"/>
      <c r="H124" s="138"/>
      <c r="I124" s="188"/>
      <c r="K124" s="134"/>
    </row>
    <row r="125" spans="1:18" s="78" customFormat="1" ht="13.5" customHeight="1">
      <c r="A125" s="208"/>
      <c r="B125" s="209"/>
      <c r="C125" s="209"/>
      <c r="D125" s="185" t="s">
        <v>222</v>
      </c>
      <c r="E125" s="209"/>
      <c r="F125" s="210"/>
      <c r="G125" s="211"/>
      <c r="H125" s="382"/>
      <c r="I125" s="212"/>
      <c r="K125" s="134"/>
    </row>
    <row r="126" spans="1:18" s="78" customFormat="1" ht="13.5" customHeight="1">
      <c r="A126" s="208"/>
      <c r="B126" s="209"/>
      <c r="C126" s="209"/>
      <c r="D126" s="185" t="s">
        <v>227</v>
      </c>
      <c r="E126" s="209"/>
      <c r="F126" s="210"/>
      <c r="G126" s="211"/>
      <c r="H126" s="382"/>
      <c r="I126" s="212"/>
      <c r="K126" s="134"/>
    </row>
    <row r="127" spans="1:18" s="78" customFormat="1" ht="13.5" customHeight="1">
      <c r="A127" s="213">
        <v>16</v>
      </c>
      <c r="B127" s="73">
        <v>713</v>
      </c>
      <c r="C127" s="73" t="s">
        <v>228</v>
      </c>
      <c r="D127" s="73" t="s">
        <v>229</v>
      </c>
      <c r="E127" s="73" t="s">
        <v>48</v>
      </c>
      <c r="F127" s="205">
        <f>F128</f>
        <v>120.42000000000002</v>
      </c>
      <c r="G127" s="206">
        <v>1930</v>
      </c>
      <c r="H127" s="133">
        <f>F127*G127</f>
        <v>232410.60000000003</v>
      </c>
      <c r="I127" s="196" t="s">
        <v>49</v>
      </c>
      <c r="J127" s="581"/>
      <c r="K127" s="134"/>
    </row>
    <row r="128" spans="1:18" s="221" customFormat="1" ht="13.5" customHeight="1">
      <c r="A128" s="213"/>
      <c r="B128" s="73"/>
      <c r="C128" s="73"/>
      <c r="D128" s="76" t="s">
        <v>524</v>
      </c>
      <c r="E128" s="73"/>
      <c r="F128" s="113">
        <f>133.8*0.9</f>
        <v>120.42000000000002</v>
      </c>
      <c r="G128" s="206"/>
      <c r="H128" s="215"/>
      <c r="I128" s="196"/>
      <c r="J128" s="581"/>
      <c r="K128" s="134"/>
    </row>
    <row r="129" spans="1:12" s="78" customFormat="1" ht="13.5" customHeight="1">
      <c r="A129" s="217"/>
      <c r="B129" s="218"/>
      <c r="C129" s="218"/>
      <c r="D129" s="76" t="s">
        <v>80</v>
      </c>
      <c r="E129" s="218"/>
      <c r="F129" s="205"/>
      <c r="G129" s="220"/>
      <c r="H129" s="215"/>
      <c r="I129" s="196"/>
      <c r="J129" s="582"/>
      <c r="K129" s="134"/>
    </row>
    <row r="130" spans="1:12" s="78" customFormat="1" ht="13.5" customHeight="1">
      <c r="A130" s="217"/>
      <c r="B130" s="218"/>
      <c r="C130" s="218"/>
      <c r="D130" s="76" t="s">
        <v>164</v>
      </c>
      <c r="E130" s="218"/>
      <c r="F130" s="205"/>
      <c r="G130" s="220"/>
      <c r="H130" s="215"/>
      <c r="I130" s="212"/>
      <c r="J130" s="583"/>
      <c r="K130" s="134"/>
    </row>
    <row r="131" spans="1:12" s="78" customFormat="1" ht="13.5" customHeight="1">
      <c r="A131" s="217"/>
      <c r="B131" s="218"/>
      <c r="C131" s="218"/>
      <c r="D131" s="76" t="s">
        <v>230</v>
      </c>
      <c r="E131" s="218"/>
      <c r="F131" s="205"/>
      <c r="G131" s="220"/>
      <c r="H131" s="215"/>
      <c r="I131" s="212"/>
      <c r="J131" s="583"/>
      <c r="K131" s="134"/>
    </row>
    <row r="132" spans="1:12" s="78" customFormat="1" ht="13.5" customHeight="1">
      <c r="A132" s="222"/>
      <c r="B132" s="204"/>
      <c r="C132" s="73"/>
      <c r="D132" s="76" t="s">
        <v>226</v>
      </c>
      <c r="E132" s="77"/>
      <c r="F132" s="205"/>
      <c r="G132" s="223"/>
      <c r="H132" s="223"/>
      <c r="I132" s="196"/>
      <c r="K132" s="134"/>
    </row>
    <row r="133" spans="1:12" s="78" customFormat="1" ht="13.5" customHeight="1">
      <c r="A133" s="135"/>
      <c r="B133" s="189"/>
      <c r="C133" s="189"/>
      <c r="D133" s="185" t="s">
        <v>82</v>
      </c>
      <c r="E133" s="189"/>
      <c r="F133" s="137"/>
      <c r="G133" s="190"/>
      <c r="H133" s="138"/>
      <c r="I133" s="188"/>
      <c r="K133" s="134"/>
    </row>
    <row r="134" spans="1:12" s="78" customFormat="1" ht="13.5" customHeight="1">
      <c r="A134" s="208"/>
      <c r="B134" s="209"/>
      <c r="C134" s="209"/>
      <c r="D134" s="185" t="s">
        <v>222</v>
      </c>
      <c r="E134" s="209"/>
      <c r="F134" s="210"/>
      <c r="G134" s="211"/>
      <c r="H134" s="382"/>
      <c r="I134" s="212"/>
      <c r="K134" s="134"/>
    </row>
    <row r="135" spans="1:12" s="78" customFormat="1" ht="13.5" customHeight="1">
      <c r="A135" s="208"/>
      <c r="B135" s="209"/>
      <c r="C135" s="209"/>
      <c r="D135" s="185" t="s">
        <v>227</v>
      </c>
      <c r="E135" s="209"/>
      <c r="F135" s="210"/>
      <c r="G135" s="211"/>
      <c r="H135" s="382"/>
      <c r="I135" s="212"/>
      <c r="K135" s="134"/>
    </row>
    <row r="136" spans="1:12" s="216" customFormat="1" ht="13.5" customHeight="1">
      <c r="A136" s="213">
        <v>17</v>
      </c>
      <c r="B136" s="73" t="s">
        <v>54</v>
      </c>
      <c r="C136" s="73" t="s">
        <v>200</v>
      </c>
      <c r="D136" s="73" t="s">
        <v>201</v>
      </c>
      <c r="E136" s="73" t="s">
        <v>44</v>
      </c>
      <c r="F136" s="214">
        <f>F137</f>
        <v>30</v>
      </c>
      <c r="G136" s="215">
        <v>464</v>
      </c>
      <c r="H136" s="133">
        <f>F136*G136</f>
        <v>13920</v>
      </c>
      <c r="I136" s="196" t="s">
        <v>45</v>
      </c>
      <c r="K136" s="134"/>
    </row>
    <row r="137" spans="1:12" s="78" customFormat="1" ht="13.5" customHeight="1">
      <c r="A137" s="217"/>
      <c r="B137" s="218"/>
      <c r="C137" s="218"/>
      <c r="D137" s="76" t="s">
        <v>231</v>
      </c>
      <c r="E137" s="218"/>
      <c r="F137" s="219">
        <v>30</v>
      </c>
      <c r="G137" s="220"/>
      <c r="H137" s="215"/>
      <c r="I137" s="212"/>
      <c r="K137" s="134"/>
    </row>
    <row r="138" spans="1:12" s="78" customFormat="1" ht="13.5" customHeight="1">
      <c r="A138" s="217"/>
      <c r="B138" s="218"/>
      <c r="C138" s="218"/>
      <c r="D138" s="76" t="s">
        <v>64</v>
      </c>
      <c r="E138" s="218"/>
      <c r="F138" s="219"/>
      <c r="G138" s="220"/>
      <c r="H138" s="215"/>
      <c r="I138" s="212"/>
      <c r="K138" s="134"/>
    </row>
    <row r="139" spans="1:12" s="100" customFormat="1" ht="13.5" customHeight="1">
      <c r="A139" s="228"/>
      <c r="B139" s="147"/>
      <c r="C139" s="147">
        <v>720</v>
      </c>
      <c r="D139" s="147" t="s">
        <v>550</v>
      </c>
      <c r="E139" s="147"/>
      <c r="F139" s="191"/>
      <c r="G139" s="148"/>
      <c r="H139" s="148">
        <f>SUM(H140:H144)</f>
        <v>800000</v>
      </c>
      <c r="I139" s="148"/>
      <c r="K139" s="134"/>
    </row>
    <row r="140" spans="1:12" s="100" customFormat="1" ht="13.5" customHeight="1">
      <c r="A140" s="165">
        <v>18</v>
      </c>
      <c r="B140" s="97" t="s">
        <v>59</v>
      </c>
      <c r="C140" s="97" t="s">
        <v>650</v>
      </c>
      <c r="D140" s="97" t="s">
        <v>612</v>
      </c>
      <c r="E140" s="97" t="s">
        <v>23</v>
      </c>
      <c r="F140" s="175">
        <f>F142</f>
        <v>1</v>
      </c>
      <c r="G140" s="98">
        <v>800000</v>
      </c>
      <c r="H140" s="138">
        <f>F140*G140</f>
        <v>800000</v>
      </c>
      <c r="I140" s="196" t="s">
        <v>49</v>
      </c>
      <c r="K140" s="134"/>
    </row>
    <row r="141" spans="1:12" s="100" customFormat="1" ht="40.5" customHeight="1">
      <c r="A141" s="165"/>
      <c r="B141" s="97"/>
      <c r="C141" s="97"/>
      <c r="D141" s="101" t="s">
        <v>552</v>
      </c>
      <c r="E141" s="97"/>
      <c r="F141" s="286"/>
      <c r="G141" s="98"/>
      <c r="H141" s="98"/>
      <c r="I141" s="98"/>
      <c r="K141" s="134"/>
    </row>
    <row r="142" spans="1:12" s="100" customFormat="1" ht="13.5" customHeight="1">
      <c r="A142" s="165"/>
      <c r="B142" s="103"/>
      <c r="C142" s="103"/>
      <c r="D142" s="101" t="s">
        <v>61</v>
      </c>
      <c r="E142" s="103"/>
      <c r="F142" s="162">
        <v>1</v>
      </c>
      <c r="G142" s="104"/>
      <c r="H142" s="98"/>
      <c r="I142" s="98"/>
      <c r="K142" s="134"/>
    </row>
    <row r="143" spans="1:12" s="100" customFormat="1" ht="13.5" customHeight="1">
      <c r="A143" s="197"/>
      <c r="B143" s="103"/>
      <c r="C143" s="103"/>
      <c r="D143" s="153" t="s">
        <v>553</v>
      </c>
      <c r="E143" s="103"/>
      <c r="F143" s="162"/>
      <c r="G143" s="104"/>
      <c r="H143" s="98"/>
      <c r="I143" s="98"/>
      <c r="K143" s="134"/>
      <c r="L143" s="525"/>
    </row>
    <row r="144" spans="1:12" s="100" customFormat="1" ht="67.5" customHeight="1">
      <c r="A144" s="165"/>
      <c r="B144" s="107"/>
      <c r="C144" s="103"/>
      <c r="D144" s="108" t="s">
        <v>57</v>
      </c>
      <c r="E144" s="90"/>
      <c r="F144" s="286"/>
      <c r="G144" s="104"/>
      <c r="H144" s="98"/>
      <c r="I144" s="98"/>
      <c r="K144" s="134"/>
    </row>
    <row r="145" spans="1:12" s="100" customFormat="1" ht="13.5" customHeight="1">
      <c r="A145" s="228"/>
      <c r="B145" s="147"/>
      <c r="C145" s="147">
        <v>730</v>
      </c>
      <c r="D145" s="147" t="s">
        <v>555</v>
      </c>
      <c r="E145" s="147"/>
      <c r="F145" s="191"/>
      <c r="G145" s="148"/>
      <c r="H145" s="148">
        <f>SUM(H146:H150)</f>
        <v>1800000</v>
      </c>
      <c r="I145" s="148"/>
      <c r="K145" s="134"/>
    </row>
    <row r="146" spans="1:12" s="100" customFormat="1" ht="13.5" customHeight="1">
      <c r="A146" s="165">
        <v>19</v>
      </c>
      <c r="B146" s="97" t="s">
        <v>59</v>
      </c>
      <c r="C146" s="97" t="s">
        <v>651</v>
      </c>
      <c r="D146" s="97" t="s">
        <v>613</v>
      </c>
      <c r="E146" s="97" t="s">
        <v>23</v>
      </c>
      <c r="F146" s="175">
        <f>F148</f>
        <v>1</v>
      </c>
      <c r="G146" s="98">
        <v>1800000</v>
      </c>
      <c r="H146" s="138">
        <f>F146*G146</f>
        <v>1800000</v>
      </c>
      <c r="I146" s="196" t="s">
        <v>49</v>
      </c>
      <c r="K146" s="134"/>
    </row>
    <row r="147" spans="1:12" s="100" customFormat="1" ht="40.5" customHeight="1">
      <c r="A147" s="165"/>
      <c r="B147" s="97"/>
      <c r="C147" s="97"/>
      <c r="D147" s="101" t="s">
        <v>556</v>
      </c>
      <c r="E147" s="97"/>
      <c r="F147" s="286"/>
      <c r="G147" s="98"/>
      <c r="H147" s="98"/>
      <c r="I147" s="98"/>
      <c r="K147" s="134"/>
    </row>
    <row r="148" spans="1:12" s="100" customFormat="1" ht="13.5" customHeight="1">
      <c r="A148" s="165"/>
      <c r="B148" s="103"/>
      <c r="C148" s="103"/>
      <c r="D148" s="101" t="s">
        <v>61</v>
      </c>
      <c r="E148" s="103"/>
      <c r="F148" s="162">
        <v>1</v>
      </c>
      <c r="G148" s="104"/>
      <c r="H148" s="98"/>
      <c r="I148" s="98"/>
      <c r="K148" s="134"/>
    </row>
    <row r="149" spans="1:12" s="100" customFormat="1" ht="13.5" customHeight="1">
      <c r="A149" s="197"/>
      <c r="B149" s="103"/>
      <c r="C149" s="103"/>
      <c r="D149" s="153" t="s">
        <v>553</v>
      </c>
      <c r="E149" s="103"/>
      <c r="F149" s="162"/>
      <c r="G149" s="104"/>
      <c r="H149" s="98"/>
      <c r="I149" s="98"/>
      <c r="K149" s="134"/>
      <c r="L149" s="525"/>
    </row>
    <row r="150" spans="1:12" s="100" customFormat="1" ht="67.5" customHeight="1">
      <c r="A150" s="165"/>
      <c r="B150" s="107"/>
      <c r="C150" s="103"/>
      <c r="D150" s="108" t="s">
        <v>57</v>
      </c>
      <c r="E150" s="90"/>
      <c r="F150" s="286"/>
      <c r="G150" s="104"/>
      <c r="H150" s="98"/>
      <c r="I150" s="98"/>
      <c r="K150" s="134"/>
    </row>
    <row r="151" spans="1:12" s="100" customFormat="1" ht="13.5" customHeight="1">
      <c r="A151" s="228"/>
      <c r="B151" s="147"/>
      <c r="C151" s="147">
        <v>740</v>
      </c>
      <c r="D151" s="147" t="s">
        <v>606</v>
      </c>
      <c r="E151" s="147"/>
      <c r="F151" s="191"/>
      <c r="G151" s="148"/>
      <c r="H151" s="148">
        <f>SUM(H152:H156)</f>
        <v>1200000</v>
      </c>
      <c r="I151" s="148"/>
      <c r="K151" s="134"/>
    </row>
    <row r="152" spans="1:12" s="100" customFormat="1" ht="13.5" customHeight="1">
      <c r="A152" s="165">
        <v>20</v>
      </c>
      <c r="B152" s="97" t="s">
        <v>59</v>
      </c>
      <c r="C152" s="97" t="s">
        <v>652</v>
      </c>
      <c r="D152" s="97" t="s">
        <v>638</v>
      </c>
      <c r="E152" s="97" t="s">
        <v>23</v>
      </c>
      <c r="F152" s="175">
        <f>F154</f>
        <v>1</v>
      </c>
      <c r="G152" s="98">
        <v>1200000</v>
      </c>
      <c r="H152" s="138">
        <f>F152*G152</f>
        <v>1200000</v>
      </c>
      <c r="I152" s="196" t="s">
        <v>49</v>
      </c>
      <c r="K152" s="134"/>
    </row>
    <row r="153" spans="1:12" s="100" customFormat="1" ht="40.5" customHeight="1">
      <c r="A153" s="165"/>
      <c r="B153" s="97"/>
      <c r="C153" s="97"/>
      <c r="D153" s="101" t="s">
        <v>608</v>
      </c>
      <c r="E153" s="97"/>
      <c r="F153" s="286"/>
      <c r="G153" s="98"/>
      <c r="H153" s="98"/>
      <c r="I153" s="98"/>
      <c r="K153" s="134"/>
    </row>
    <row r="154" spans="1:12" s="100" customFormat="1" ht="13.5" customHeight="1">
      <c r="A154" s="165"/>
      <c r="B154" s="103"/>
      <c r="C154" s="103"/>
      <c r="D154" s="101" t="s">
        <v>61</v>
      </c>
      <c r="E154" s="103"/>
      <c r="F154" s="162">
        <v>1</v>
      </c>
      <c r="G154" s="104"/>
      <c r="H154" s="98"/>
      <c r="I154" s="98"/>
      <c r="K154" s="134"/>
    </row>
    <row r="155" spans="1:12" s="100" customFormat="1" ht="13.5" customHeight="1">
      <c r="A155" s="197"/>
      <c r="B155" s="103"/>
      <c r="C155" s="103"/>
      <c r="D155" s="153" t="s">
        <v>553</v>
      </c>
      <c r="E155" s="103"/>
      <c r="F155" s="162"/>
      <c r="G155" s="104"/>
      <c r="H155" s="98"/>
      <c r="I155" s="98"/>
      <c r="K155" s="134"/>
      <c r="L155" s="525"/>
    </row>
    <row r="156" spans="1:12" s="100" customFormat="1" ht="67.5" customHeight="1">
      <c r="A156" s="165"/>
      <c r="B156" s="107"/>
      <c r="C156" s="103"/>
      <c r="D156" s="108" t="s">
        <v>57</v>
      </c>
      <c r="E156" s="90"/>
      <c r="F156" s="286"/>
      <c r="G156" s="104"/>
      <c r="H156" s="98"/>
      <c r="I156" s="98"/>
      <c r="K156" s="134"/>
    </row>
    <row r="157" spans="1:12" s="100" customFormat="1" ht="13.5" customHeight="1">
      <c r="A157" s="228"/>
      <c r="B157" s="147"/>
      <c r="C157" s="147">
        <v>750</v>
      </c>
      <c r="D157" s="147" t="s">
        <v>605</v>
      </c>
      <c r="E157" s="147"/>
      <c r="F157" s="191"/>
      <c r="G157" s="148"/>
      <c r="H157" s="148">
        <f>SUM(H158:H162)</f>
        <v>1800000</v>
      </c>
      <c r="I157" s="148"/>
      <c r="K157" s="134"/>
    </row>
    <row r="158" spans="1:12" s="100" customFormat="1" ht="13.5" customHeight="1">
      <c r="A158" s="165">
        <v>21</v>
      </c>
      <c r="B158" s="97" t="s">
        <v>59</v>
      </c>
      <c r="C158" s="97" t="s">
        <v>653</v>
      </c>
      <c r="D158" s="97" t="s">
        <v>639</v>
      </c>
      <c r="E158" s="97" t="s">
        <v>23</v>
      </c>
      <c r="F158" s="175">
        <f>F160</f>
        <v>1</v>
      </c>
      <c r="G158" s="98">
        <v>1800000</v>
      </c>
      <c r="H158" s="138">
        <f>F158*G158</f>
        <v>1800000</v>
      </c>
      <c r="I158" s="196" t="s">
        <v>45</v>
      </c>
      <c r="K158" s="134"/>
    </row>
    <row r="159" spans="1:12" s="100" customFormat="1" ht="40.5" customHeight="1">
      <c r="A159" s="165"/>
      <c r="B159" s="97"/>
      <c r="C159" s="97"/>
      <c r="D159" s="101" t="s">
        <v>603</v>
      </c>
      <c r="E159" s="97"/>
      <c r="F159" s="286"/>
      <c r="G159" s="98"/>
      <c r="H159" s="98"/>
      <c r="I159" s="98"/>
      <c r="K159" s="134"/>
    </row>
    <row r="160" spans="1:12" s="100" customFormat="1" ht="13.5" customHeight="1">
      <c r="A160" s="165"/>
      <c r="B160" s="103"/>
      <c r="C160" s="103"/>
      <c r="D160" s="101" t="s">
        <v>61</v>
      </c>
      <c r="E160" s="103"/>
      <c r="F160" s="162">
        <v>1</v>
      </c>
      <c r="G160" s="104"/>
      <c r="H160" s="98"/>
      <c r="I160" s="98"/>
      <c r="K160" s="134"/>
    </row>
    <row r="161" spans="1:15" s="100" customFormat="1" ht="13.5" customHeight="1">
      <c r="A161" s="197"/>
      <c r="B161" s="103"/>
      <c r="C161" s="103"/>
      <c r="D161" s="153" t="s">
        <v>553</v>
      </c>
      <c r="E161" s="103"/>
      <c r="F161" s="162"/>
      <c r="G161" s="104"/>
      <c r="H161" s="98"/>
      <c r="I161" s="98"/>
      <c r="K161" s="134"/>
      <c r="L161" s="525"/>
    </row>
    <row r="162" spans="1:15" s="100" customFormat="1" ht="67.5" customHeight="1">
      <c r="A162" s="165"/>
      <c r="B162" s="107"/>
      <c r="C162" s="103"/>
      <c r="D162" s="108" t="s">
        <v>57</v>
      </c>
      <c r="E162" s="90"/>
      <c r="F162" s="286"/>
      <c r="G162" s="104"/>
      <c r="H162" s="98"/>
      <c r="I162" s="98"/>
      <c r="K162" s="134"/>
    </row>
    <row r="163" spans="1:15" s="116" customFormat="1" ht="13.5" customHeight="1">
      <c r="A163" s="474"/>
      <c r="B163" s="475"/>
      <c r="C163" s="475">
        <v>762</v>
      </c>
      <c r="D163" s="475" t="s">
        <v>91</v>
      </c>
      <c r="E163" s="475"/>
      <c r="F163" s="476"/>
      <c r="G163" s="476"/>
      <c r="H163" s="476">
        <f>SUM(H164:H171)</f>
        <v>480000</v>
      </c>
      <c r="I163" s="450"/>
      <c r="J163" s="586"/>
      <c r="K163" s="134"/>
      <c r="L163" s="587"/>
      <c r="M163" s="586"/>
      <c r="N163" s="588"/>
    </row>
    <row r="164" spans="1:15" s="451" customFormat="1" ht="13.5" customHeight="1">
      <c r="A164" s="447">
        <v>22</v>
      </c>
      <c r="B164" s="448">
        <v>762</v>
      </c>
      <c r="C164" s="448" t="s">
        <v>573</v>
      </c>
      <c r="D164" s="448" t="s">
        <v>574</v>
      </c>
      <c r="E164" s="448" t="s">
        <v>23</v>
      </c>
      <c r="F164" s="449">
        <f>SUM(F165:F170)</f>
        <v>1</v>
      </c>
      <c r="G164" s="449">
        <v>480000</v>
      </c>
      <c r="H164" s="449">
        <f>F164*G164</f>
        <v>480000</v>
      </c>
      <c r="I164" s="196" t="s">
        <v>49</v>
      </c>
      <c r="J164" s="586"/>
      <c r="K164" s="134"/>
      <c r="L164" s="587"/>
      <c r="M164" s="586"/>
      <c r="N164" s="539"/>
    </row>
    <row r="165" spans="1:15" s="451" customFormat="1" ht="13.5" customHeight="1">
      <c r="A165" s="452"/>
      <c r="B165" s="453"/>
      <c r="C165" s="453"/>
      <c r="D165" s="454" t="s">
        <v>575</v>
      </c>
      <c r="E165" s="453"/>
      <c r="F165" s="455">
        <v>1</v>
      </c>
      <c r="G165" s="456"/>
      <c r="H165" s="457"/>
      <c r="I165" s="458"/>
      <c r="J165" s="586"/>
      <c r="K165" s="134"/>
      <c r="L165" s="587"/>
      <c r="M165" s="586"/>
      <c r="N165" s="588"/>
    </row>
    <row r="166" spans="1:15" s="451" customFormat="1" ht="13.5" customHeight="1">
      <c r="A166" s="452"/>
      <c r="B166" s="453"/>
      <c r="C166" s="453"/>
      <c r="D166" s="454" t="s">
        <v>80</v>
      </c>
      <c r="E166" s="453"/>
      <c r="F166" s="455"/>
      <c r="G166" s="456"/>
      <c r="H166" s="457"/>
      <c r="I166" s="458"/>
      <c r="J166" s="586"/>
      <c r="K166" s="134"/>
      <c r="L166" s="587"/>
      <c r="M166" s="586"/>
      <c r="N166" s="539"/>
    </row>
    <row r="167" spans="1:15" s="451" customFormat="1" ht="13.5" customHeight="1">
      <c r="A167" s="452"/>
      <c r="B167" s="453"/>
      <c r="C167" s="453"/>
      <c r="D167" s="454" t="s">
        <v>576</v>
      </c>
      <c r="E167" s="453"/>
      <c r="F167" s="455"/>
      <c r="G167" s="456"/>
      <c r="H167" s="457"/>
      <c r="I167" s="458"/>
      <c r="J167" s="586"/>
      <c r="K167" s="134"/>
      <c r="L167" s="587"/>
      <c r="M167" s="586"/>
      <c r="N167" s="588"/>
    </row>
    <row r="168" spans="1:15" s="451" customFormat="1" ht="13.5" customHeight="1">
      <c r="A168" s="452"/>
      <c r="B168" s="453"/>
      <c r="C168" s="453"/>
      <c r="D168" s="454" t="s">
        <v>577</v>
      </c>
      <c r="E168" s="453"/>
      <c r="F168" s="455"/>
      <c r="G168" s="456"/>
      <c r="H168" s="457"/>
      <c r="I168" s="458"/>
      <c r="J168" s="586"/>
      <c r="K168" s="134"/>
      <c r="L168" s="587"/>
      <c r="M168" s="586"/>
      <c r="N168" s="588"/>
    </row>
    <row r="169" spans="1:15" s="451" customFormat="1" ht="13.5" customHeight="1">
      <c r="A169" s="452"/>
      <c r="B169" s="453"/>
      <c r="C169" s="453"/>
      <c r="D169" s="454" t="s">
        <v>578</v>
      </c>
      <c r="E169" s="453"/>
      <c r="F169" s="455"/>
      <c r="G169" s="456"/>
      <c r="H169" s="457"/>
      <c r="I169" s="458"/>
      <c r="J169" s="586"/>
      <c r="K169" s="134"/>
      <c r="L169" s="587"/>
      <c r="M169" s="586"/>
      <c r="N169" s="588"/>
    </row>
    <row r="170" spans="1:15" s="451" customFormat="1" ht="27" customHeight="1">
      <c r="A170" s="452"/>
      <c r="B170" s="453"/>
      <c r="C170" s="453"/>
      <c r="D170" s="454" t="s">
        <v>579</v>
      </c>
      <c r="E170" s="453"/>
      <c r="F170" s="455"/>
      <c r="G170" s="456"/>
      <c r="H170" s="457"/>
      <c r="I170" s="458"/>
      <c r="J170" s="586"/>
      <c r="K170" s="134"/>
      <c r="L170" s="587"/>
      <c r="M170" s="586"/>
      <c r="N170" s="588"/>
    </row>
    <row r="171" spans="1:15" customFormat="1" ht="27" customHeight="1">
      <c r="A171" s="447"/>
      <c r="B171" s="477"/>
      <c r="C171" s="448"/>
      <c r="D171" s="454" t="s">
        <v>580</v>
      </c>
      <c r="E171" s="448"/>
      <c r="F171" s="455"/>
      <c r="G171" s="449"/>
      <c r="H171" s="449"/>
      <c r="I171" s="450"/>
      <c r="J171" s="586"/>
      <c r="K171" s="134"/>
      <c r="L171" s="587"/>
      <c r="M171" s="586"/>
      <c r="N171" s="588"/>
    </row>
    <row r="172" spans="1:15" s="100" customFormat="1" ht="13.5" customHeight="1">
      <c r="A172" s="165"/>
      <c r="B172" s="147"/>
      <c r="C172" s="147">
        <v>763</v>
      </c>
      <c r="D172" s="147" t="s">
        <v>92</v>
      </c>
      <c r="E172" s="147"/>
      <c r="F172" s="191"/>
      <c r="G172" s="229"/>
      <c r="H172" s="148">
        <f>SUM(H173:H207)</f>
        <v>2071566.37</v>
      </c>
      <c r="I172" s="109"/>
      <c r="K172" s="134"/>
    </row>
    <row r="173" spans="1:15" s="88" customFormat="1" ht="13.5" customHeight="1">
      <c r="A173" s="213">
        <v>23</v>
      </c>
      <c r="B173" s="204" t="s">
        <v>232</v>
      </c>
      <c r="C173" s="73" t="s">
        <v>233</v>
      </c>
      <c r="D173" s="73" t="s">
        <v>234</v>
      </c>
      <c r="E173" s="73" t="s">
        <v>48</v>
      </c>
      <c r="F173" s="205">
        <f>SUM(F175:F175)</f>
        <v>189.333</v>
      </c>
      <c r="G173" s="215">
        <v>2570</v>
      </c>
      <c r="H173" s="133">
        <f>F173*G173</f>
        <v>486585.81</v>
      </c>
      <c r="I173" s="196" t="s">
        <v>49</v>
      </c>
      <c r="K173" s="134"/>
    </row>
    <row r="174" spans="1:15" s="92" customFormat="1" ht="13.5" customHeight="1">
      <c r="A174" s="168"/>
      <c r="B174" s="169"/>
      <c r="C174" s="89"/>
      <c r="D174" s="80" t="s">
        <v>235</v>
      </c>
      <c r="E174" s="89"/>
      <c r="G174" s="91"/>
      <c r="H174" s="91"/>
      <c r="I174" s="196"/>
      <c r="J174" s="589"/>
      <c r="K174" s="134"/>
      <c r="L174" s="589"/>
      <c r="O174" s="578"/>
    </row>
    <row r="175" spans="1:15" s="92" customFormat="1" ht="13.5" customHeight="1">
      <c r="A175" s="168"/>
      <c r="B175" s="169"/>
      <c r="C175" s="89"/>
      <c r="D175" s="80" t="s">
        <v>548</v>
      </c>
      <c r="E175" s="89"/>
      <c r="F175" s="207">
        <f>186.255+1.953+1.125</f>
        <v>189.333</v>
      </c>
      <c r="G175" s="91"/>
      <c r="H175" s="91"/>
      <c r="I175" s="196"/>
      <c r="K175" s="134"/>
      <c r="O175" s="578"/>
    </row>
    <row r="176" spans="1:15" s="92" customFormat="1" ht="13.5" customHeight="1">
      <c r="A176" s="170"/>
      <c r="B176" s="89"/>
      <c r="C176" s="89"/>
      <c r="D176" s="80" t="s">
        <v>80</v>
      </c>
      <c r="E176" s="89"/>
      <c r="F176" s="142"/>
      <c r="G176" s="91"/>
      <c r="H176" s="91"/>
      <c r="I176" s="196"/>
      <c r="K176" s="134"/>
    </row>
    <row r="177" spans="1:19" s="233" customFormat="1" ht="13.5" customHeight="1">
      <c r="A177" s="230"/>
      <c r="B177" s="231"/>
      <c r="C177" s="231"/>
      <c r="D177" s="231" t="s">
        <v>236</v>
      </c>
      <c r="E177" s="231"/>
      <c r="F177" s="207"/>
      <c r="G177" s="232"/>
      <c r="H177" s="232"/>
      <c r="I177" s="196"/>
      <c r="J177" s="590"/>
      <c r="K177" s="134"/>
    </row>
    <row r="178" spans="1:19" s="233" customFormat="1" ht="13.5" customHeight="1">
      <c r="A178" s="230"/>
      <c r="B178" s="231"/>
      <c r="C178" s="231"/>
      <c r="D178" s="231" t="s">
        <v>237</v>
      </c>
      <c r="E178" s="231"/>
      <c r="F178" s="207"/>
      <c r="G178" s="232"/>
      <c r="H178" s="232"/>
      <c r="I178" s="234"/>
      <c r="J178" s="591"/>
      <c r="K178" s="134"/>
      <c r="S178" s="592"/>
    </row>
    <row r="179" spans="1:19" s="233" customFormat="1" ht="13.5" customHeight="1">
      <c r="A179" s="230"/>
      <c r="B179" s="231"/>
      <c r="C179" s="231"/>
      <c r="D179" s="231" t="s">
        <v>238</v>
      </c>
      <c r="E179" s="231"/>
      <c r="F179" s="207"/>
      <c r="G179" s="232"/>
      <c r="H179" s="232"/>
      <c r="I179" s="234"/>
      <c r="J179" s="591"/>
      <c r="K179" s="134"/>
      <c r="S179" s="592"/>
    </row>
    <row r="180" spans="1:19" s="233" customFormat="1" ht="13.5" customHeight="1">
      <c r="A180" s="230"/>
      <c r="B180" s="231"/>
      <c r="C180" s="231"/>
      <c r="D180" s="80" t="s">
        <v>239</v>
      </c>
      <c r="E180" s="231"/>
      <c r="F180" s="207"/>
      <c r="G180" s="232"/>
      <c r="H180" s="232"/>
      <c r="I180" s="234"/>
      <c r="K180" s="134"/>
    </row>
    <row r="181" spans="1:19" s="233" customFormat="1" ht="13.5" customHeight="1">
      <c r="A181" s="230"/>
      <c r="B181" s="231"/>
      <c r="C181" s="231"/>
      <c r="D181" s="80" t="s">
        <v>240</v>
      </c>
      <c r="E181" s="231"/>
      <c r="F181" s="207"/>
      <c r="G181" s="232"/>
      <c r="H181" s="232"/>
      <c r="I181" s="234"/>
      <c r="K181" s="134"/>
    </row>
    <row r="182" spans="1:19" s="233" customFormat="1" ht="13.5" customHeight="1">
      <c r="A182" s="230"/>
      <c r="B182" s="231"/>
      <c r="C182" s="231"/>
      <c r="D182" s="231" t="s">
        <v>133</v>
      </c>
      <c r="E182" s="231"/>
      <c r="F182" s="207"/>
      <c r="G182" s="232"/>
      <c r="H182" s="232"/>
      <c r="I182" s="234"/>
      <c r="K182" s="134"/>
    </row>
    <row r="183" spans="1:19" s="233" customFormat="1" ht="13.5" customHeight="1">
      <c r="A183" s="230"/>
      <c r="B183" s="231"/>
      <c r="C183" s="231"/>
      <c r="D183" s="231" t="s">
        <v>241</v>
      </c>
      <c r="E183" s="231"/>
      <c r="F183" s="207"/>
      <c r="G183" s="232"/>
      <c r="H183" s="232"/>
      <c r="I183" s="234"/>
      <c r="J183" s="593"/>
      <c r="K183" s="134"/>
      <c r="P183" s="594"/>
    </row>
    <row r="184" spans="1:19" s="88" customFormat="1" ht="13.5" customHeight="1">
      <c r="A184" s="213">
        <v>24</v>
      </c>
      <c r="B184" s="204" t="s">
        <v>232</v>
      </c>
      <c r="C184" s="73" t="s">
        <v>242</v>
      </c>
      <c r="D184" s="73" t="s">
        <v>243</v>
      </c>
      <c r="E184" s="73" t="s">
        <v>48</v>
      </c>
      <c r="F184" s="205">
        <f>SUM(F186:F186)</f>
        <v>32.861999999999995</v>
      </c>
      <c r="G184" s="215">
        <v>1880</v>
      </c>
      <c r="H184" s="133">
        <f>F184*G184</f>
        <v>61780.55999999999</v>
      </c>
      <c r="I184" s="196" t="s">
        <v>49</v>
      </c>
      <c r="K184" s="134"/>
    </row>
    <row r="185" spans="1:19" s="92" customFormat="1" ht="13.5" customHeight="1">
      <c r="A185" s="168"/>
      <c r="B185" s="169"/>
      <c r="C185" s="89"/>
      <c r="D185" s="80" t="s">
        <v>244</v>
      </c>
      <c r="E185" s="89"/>
      <c r="F185" s="207"/>
      <c r="G185" s="91"/>
      <c r="H185" s="91"/>
      <c r="I185" s="196"/>
      <c r="K185" s="134"/>
      <c r="O185" s="578"/>
    </row>
    <row r="186" spans="1:19" s="92" customFormat="1" ht="13.5" customHeight="1">
      <c r="A186" s="168"/>
      <c r="B186" s="169"/>
      <c r="C186" s="89"/>
      <c r="D186" s="80" t="s">
        <v>548</v>
      </c>
      <c r="E186" s="89"/>
      <c r="F186" s="207">
        <f>14.73+3.618+14.514</f>
        <v>32.861999999999995</v>
      </c>
      <c r="G186" s="91"/>
      <c r="H186" s="91"/>
      <c r="I186" s="196"/>
      <c r="J186" s="595"/>
      <c r="K186" s="134"/>
      <c r="O186" s="578"/>
    </row>
    <row r="187" spans="1:19" s="92" customFormat="1" ht="13.5" customHeight="1">
      <c r="A187" s="170"/>
      <c r="B187" s="89"/>
      <c r="C187" s="89"/>
      <c r="D187" s="80" t="s">
        <v>80</v>
      </c>
      <c r="E187" s="89"/>
      <c r="F187" s="142"/>
      <c r="G187" s="91"/>
      <c r="H187" s="91"/>
      <c r="I187" s="196"/>
      <c r="K187" s="134"/>
    </row>
    <row r="188" spans="1:19" s="233" customFormat="1" ht="13.5" customHeight="1">
      <c r="A188" s="230"/>
      <c r="B188" s="231"/>
      <c r="C188" s="231"/>
      <c r="D188" s="231" t="s">
        <v>245</v>
      </c>
      <c r="E188" s="231"/>
      <c r="F188" s="207"/>
      <c r="G188" s="232"/>
      <c r="H188" s="232"/>
      <c r="I188" s="196"/>
      <c r="J188" s="92"/>
      <c r="K188" s="134"/>
    </row>
    <row r="189" spans="1:19" s="233" customFormat="1" ht="13.5" customHeight="1">
      <c r="A189" s="230"/>
      <c r="B189" s="231"/>
      <c r="C189" s="231"/>
      <c r="D189" s="231" t="s">
        <v>237</v>
      </c>
      <c r="E189" s="231"/>
      <c r="F189" s="207"/>
      <c r="G189" s="232"/>
      <c r="H189" s="232"/>
      <c r="I189" s="234"/>
      <c r="J189" s="591"/>
      <c r="K189" s="134"/>
      <c r="S189" s="592"/>
    </row>
    <row r="190" spans="1:19" s="233" customFormat="1" ht="13.5" customHeight="1">
      <c r="A190" s="230"/>
      <c r="B190" s="231"/>
      <c r="C190" s="231"/>
      <c r="D190" s="231" t="s">
        <v>238</v>
      </c>
      <c r="E190" s="231"/>
      <c r="F190" s="207"/>
      <c r="G190" s="232"/>
      <c r="H190" s="232"/>
      <c r="I190" s="234"/>
      <c r="J190" s="591"/>
      <c r="K190" s="134"/>
      <c r="S190" s="592"/>
    </row>
    <row r="191" spans="1:19" s="233" customFormat="1" ht="13.5" customHeight="1">
      <c r="A191" s="230"/>
      <c r="B191" s="231"/>
      <c r="C191" s="231"/>
      <c r="D191" s="80" t="s">
        <v>246</v>
      </c>
      <c r="E191" s="231"/>
      <c r="F191" s="207"/>
      <c r="G191" s="232"/>
      <c r="H191" s="232"/>
      <c r="I191" s="234"/>
      <c r="J191" s="591"/>
      <c r="K191" s="134"/>
    </row>
    <row r="192" spans="1:19" s="233" customFormat="1" ht="13.5" customHeight="1">
      <c r="A192" s="230"/>
      <c r="B192" s="231"/>
      <c r="C192" s="231"/>
      <c r="D192" s="80" t="s">
        <v>240</v>
      </c>
      <c r="E192" s="231"/>
      <c r="F192" s="207"/>
      <c r="G192" s="232"/>
      <c r="H192" s="232"/>
      <c r="I192" s="234"/>
      <c r="K192" s="134"/>
    </row>
    <row r="193" spans="1:19" s="233" customFormat="1" ht="13.5" customHeight="1">
      <c r="A193" s="230"/>
      <c r="B193" s="231"/>
      <c r="C193" s="231"/>
      <c r="D193" s="231" t="s">
        <v>133</v>
      </c>
      <c r="E193" s="231"/>
      <c r="F193" s="207"/>
      <c r="G193" s="232"/>
      <c r="H193" s="232"/>
      <c r="I193" s="234"/>
      <c r="K193" s="134"/>
    </row>
    <row r="194" spans="1:19" s="233" customFormat="1" ht="13.5" customHeight="1">
      <c r="A194" s="230"/>
      <c r="B194" s="231"/>
      <c r="C194" s="231"/>
      <c r="D194" s="231" t="s">
        <v>247</v>
      </c>
      <c r="E194" s="231"/>
      <c r="F194" s="207"/>
      <c r="G194" s="232"/>
      <c r="H194" s="232"/>
      <c r="I194" s="234"/>
      <c r="J194" s="593"/>
      <c r="K194" s="134"/>
      <c r="P194" s="594"/>
    </row>
    <row r="195" spans="1:19" s="88" customFormat="1" ht="13.5" customHeight="1">
      <c r="A195" s="213">
        <v>25</v>
      </c>
      <c r="B195" s="204" t="s">
        <v>232</v>
      </c>
      <c r="C195" s="73" t="s">
        <v>248</v>
      </c>
      <c r="D195" s="73" t="s">
        <v>249</v>
      </c>
      <c r="E195" s="73" t="s">
        <v>23</v>
      </c>
      <c r="F195" s="205">
        <f>SUM(F197:F197)</f>
        <v>1</v>
      </c>
      <c r="G195" s="215">
        <v>1500000</v>
      </c>
      <c r="H195" s="133">
        <f>F195*G195</f>
        <v>1500000</v>
      </c>
      <c r="I195" s="196" t="s">
        <v>49</v>
      </c>
      <c r="J195" s="596"/>
      <c r="K195" s="134"/>
    </row>
    <row r="196" spans="1:19" s="92" customFormat="1" ht="13.5" customHeight="1">
      <c r="A196" s="168"/>
      <c r="B196" s="169"/>
      <c r="C196" s="89"/>
      <c r="D196" s="80" t="s">
        <v>250</v>
      </c>
      <c r="E196" s="89"/>
      <c r="G196" s="91"/>
      <c r="H196" s="91"/>
      <c r="I196" s="196"/>
      <c r="J196" s="578"/>
      <c r="K196" s="134"/>
      <c r="O196" s="578"/>
    </row>
    <row r="197" spans="1:19" s="92" customFormat="1" ht="13.5" customHeight="1">
      <c r="A197" s="168"/>
      <c r="B197" s="169"/>
      <c r="C197" s="89"/>
      <c r="D197" s="80" t="s">
        <v>549</v>
      </c>
      <c r="E197" s="89"/>
      <c r="F197" s="207">
        <v>1</v>
      </c>
      <c r="G197" s="91"/>
      <c r="H197" s="91"/>
      <c r="I197" s="196"/>
      <c r="J197" s="578"/>
      <c r="K197" s="134"/>
      <c r="O197" s="578"/>
    </row>
    <row r="198" spans="1:19" s="92" customFormat="1" ht="13.5" customHeight="1">
      <c r="A198" s="170"/>
      <c r="B198" s="89"/>
      <c r="C198" s="89"/>
      <c r="D198" s="80" t="s">
        <v>80</v>
      </c>
      <c r="E198" s="89"/>
      <c r="F198" s="142"/>
      <c r="G198" s="91"/>
      <c r="H198" s="91"/>
      <c r="I198" s="196"/>
      <c r="J198" s="578"/>
      <c r="K198" s="134"/>
    </row>
    <row r="199" spans="1:19" s="233" customFormat="1" ht="13.5" customHeight="1">
      <c r="A199" s="230"/>
      <c r="B199" s="231"/>
      <c r="C199" s="231"/>
      <c r="D199" s="231" t="s">
        <v>251</v>
      </c>
      <c r="E199" s="231"/>
      <c r="F199" s="207"/>
      <c r="G199" s="232"/>
      <c r="H199" s="232"/>
      <c r="I199" s="215"/>
      <c r="J199" s="92"/>
      <c r="K199" s="134"/>
      <c r="N199" s="92"/>
    </row>
    <row r="200" spans="1:19" s="233" customFormat="1" ht="13.5" customHeight="1">
      <c r="A200" s="230"/>
      <c r="B200" s="231"/>
      <c r="C200" s="231"/>
      <c r="D200" s="231" t="s">
        <v>238</v>
      </c>
      <c r="E200" s="231"/>
      <c r="F200" s="207"/>
      <c r="G200" s="232"/>
      <c r="H200" s="232"/>
      <c r="I200" s="234"/>
      <c r="J200" s="92"/>
      <c r="K200" s="134"/>
      <c r="S200" s="592"/>
    </row>
    <row r="201" spans="1:19" s="233" customFormat="1" ht="13.5" customHeight="1">
      <c r="A201" s="230"/>
      <c r="B201" s="231"/>
      <c r="C201" s="231"/>
      <c r="D201" s="80" t="s">
        <v>252</v>
      </c>
      <c r="E201" s="231"/>
      <c r="F201" s="207"/>
      <c r="G201" s="232"/>
      <c r="H201" s="232"/>
      <c r="I201" s="234"/>
      <c r="K201" s="134"/>
    </row>
    <row r="202" spans="1:19" s="233" customFormat="1" ht="13.5" customHeight="1">
      <c r="A202" s="230"/>
      <c r="B202" s="231"/>
      <c r="C202" s="231"/>
      <c r="D202" s="80" t="s">
        <v>253</v>
      </c>
      <c r="E202" s="231"/>
      <c r="F202" s="207"/>
      <c r="G202" s="232"/>
      <c r="H202" s="232"/>
      <c r="I202" s="234"/>
      <c r="J202" s="597"/>
      <c r="K202" s="134"/>
    </row>
    <row r="203" spans="1:19" s="233" customFormat="1" ht="13.5" customHeight="1">
      <c r="A203" s="230"/>
      <c r="B203" s="231"/>
      <c r="C203" s="231"/>
      <c r="D203" s="231" t="s">
        <v>133</v>
      </c>
      <c r="E203" s="231"/>
      <c r="F203" s="207"/>
      <c r="G203" s="232"/>
      <c r="H203" s="232"/>
      <c r="I203" s="234"/>
      <c r="K203" s="134"/>
    </row>
    <row r="204" spans="1:19" s="233" customFormat="1" ht="13.5" customHeight="1">
      <c r="A204" s="230"/>
      <c r="B204" s="231"/>
      <c r="C204" s="231"/>
      <c r="D204" s="231" t="s">
        <v>254</v>
      </c>
      <c r="E204" s="231"/>
      <c r="F204" s="207"/>
      <c r="G204" s="232"/>
      <c r="H204" s="232"/>
      <c r="I204" s="234"/>
      <c r="J204" s="593"/>
      <c r="K204" s="134"/>
      <c r="P204" s="594"/>
    </row>
    <row r="205" spans="1:19" s="216" customFormat="1" ht="13.5" customHeight="1">
      <c r="A205" s="235">
        <v>26</v>
      </c>
      <c r="B205" s="73" t="s">
        <v>54</v>
      </c>
      <c r="C205" s="73" t="s">
        <v>255</v>
      </c>
      <c r="D205" s="73" t="s">
        <v>256</v>
      </c>
      <c r="E205" s="73" t="s">
        <v>44</v>
      </c>
      <c r="F205" s="236">
        <f>SUM(F206:F206)</f>
        <v>50</v>
      </c>
      <c r="G205" s="215">
        <v>464</v>
      </c>
      <c r="H205" s="133">
        <f>F205*G205</f>
        <v>23200</v>
      </c>
      <c r="I205" s="196" t="s">
        <v>45</v>
      </c>
      <c r="K205" s="134"/>
    </row>
    <row r="206" spans="1:19" s="78" customFormat="1" ht="13.5" customHeight="1">
      <c r="A206" s="237"/>
      <c r="B206" s="218"/>
      <c r="C206" s="218"/>
      <c r="D206" s="76" t="s">
        <v>257</v>
      </c>
      <c r="E206" s="218"/>
      <c r="F206" s="219">
        <v>50</v>
      </c>
      <c r="G206" s="238"/>
      <c r="H206" s="205"/>
      <c r="I206" s="212"/>
      <c r="K206" s="134"/>
    </row>
    <row r="207" spans="1:19" s="78" customFormat="1" ht="13.5" customHeight="1">
      <c r="A207" s="237"/>
      <c r="B207" s="218"/>
      <c r="C207" s="218"/>
      <c r="D207" s="76" t="s">
        <v>64</v>
      </c>
      <c r="E207" s="218"/>
      <c r="F207" s="219"/>
      <c r="G207" s="238"/>
      <c r="H207" s="205"/>
      <c r="I207" s="212"/>
      <c r="K207" s="134"/>
    </row>
    <row r="208" spans="1:19" s="100" customFormat="1" ht="13.5" customHeight="1">
      <c r="A208" s="146"/>
      <c r="B208" s="147"/>
      <c r="C208" s="147">
        <v>764</v>
      </c>
      <c r="D208" s="147" t="s">
        <v>93</v>
      </c>
      <c r="E208" s="147"/>
      <c r="F208" s="148"/>
      <c r="G208" s="149"/>
      <c r="H208" s="149">
        <f>SUM(H209:H222)</f>
        <v>318580</v>
      </c>
      <c r="I208" s="163"/>
      <c r="J208" s="598"/>
      <c r="K208" s="134"/>
      <c r="L208" s="599"/>
    </row>
    <row r="209" spans="1:19" s="243" customFormat="1" ht="13.5" customHeight="1">
      <c r="A209" s="239">
        <v>27</v>
      </c>
      <c r="B209" s="240" t="s">
        <v>258</v>
      </c>
      <c r="C209" s="241" t="s">
        <v>259</v>
      </c>
      <c r="D209" s="241" t="s">
        <v>502</v>
      </c>
      <c r="E209" s="241" t="s">
        <v>23</v>
      </c>
      <c r="F209" s="236">
        <f>SUM(F210:F210)</f>
        <v>1</v>
      </c>
      <c r="G209" s="242">
        <v>310000</v>
      </c>
      <c r="H209" s="133">
        <f>F209*G209</f>
        <v>310000</v>
      </c>
      <c r="I209" s="99" t="s">
        <v>49</v>
      </c>
      <c r="J209" s="600"/>
      <c r="K209" s="134"/>
      <c r="L209" s="601"/>
      <c r="M209" s="602"/>
    </row>
    <row r="210" spans="1:19" s="243" customFormat="1" ht="13.5" customHeight="1">
      <c r="A210" s="244"/>
      <c r="B210" s="245"/>
      <c r="C210" s="245"/>
      <c r="D210" s="179" t="s">
        <v>260</v>
      </c>
      <c r="E210" s="178"/>
      <c r="F210" s="246">
        <v>1</v>
      </c>
      <c r="G210" s="247"/>
      <c r="H210" s="247"/>
      <c r="I210" s="248"/>
      <c r="J210" s="249"/>
      <c r="K210" s="134"/>
      <c r="L210" s="603"/>
      <c r="N210" s="604"/>
      <c r="R210" s="602"/>
    </row>
    <row r="211" spans="1:19" s="92" customFormat="1" ht="13.5" customHeight="1">
      <c r="A211" s="170"/>
      <c r="B211" s="89"/>
      <c r="C211" s="89"/>
      <c r="D211" s="80" t="s">
        <v>80</v>
      </c>
      <c r="E211" s="89"/>
      <c r="F211" s="142"/>
      <c r="G211" s="91"/>
      <c r="H211" s="91"/>
      <c r="I211" s="176"/>
      <c r="K211" s="134"/>
    </row>
    <row r="212" spans="1:19" s="92" customFormat="1" ht="27" customHeight="1">
      <c r="A212" s="170"/>
      <c r="B212" s="89"/>
      <c r="C212" s="89"/>
      <c r="D212" s="158" t="s">
        <v>261</v>
      </c>
      <c r="E212" s="89"/>
      <c r="F212" s="142"/>
      <c r="G212" s="91"/>
      <c r="H212" s="91"/>
      <c r="I212" s="176"/>
      <c r="K212" s="134"/>
    </row>
    <row r="213" spans="1:19" s="92" customFormat="1" ht="13.5" customHeight="1">
      <c r="A213" s="170"/>
      <c r="B213" s="89"/>
      <c r="C213" s="89"/>
      <c r="D213" s="158" t="s">
        <v>262</v>
      </c>
      <c r="E213" s="89"/>
      <c r="F213" s="142"/>
      <c r="G213" s="91"/>
      <c r="H213" s="91"/>
      <c r="I213" s="176"/>
      <c r="K213" s="134"/>
    </row>
    <row r="214" spans="1:19" s="92" customFormat="1" ht="13.5" customHeight="1">
      <c r="A214" s="170"/>
      <c r="B214" s="89"/>
      <c r="C214" s="89"/>
      <c r="D214" s="158" t="s">
        <v>263</v>
      </c>
      <c r="E214" s="89"/>
      <c r="F214" s="142"/>
      <c r="G214" s="91"/>
      <c r="H214" s="91"/>
      <c r="I214" s="176"/>
      <c r="K214" s="134"/>
    </row>
    <row r="215" spans="1:19" s="92" customFormat="1" ht="13.5" customHeight="1">
      <c r="A215" s="170"/>
      <c r="B215" s="89"/>
      <c r="C215" s="89"/>
      <c r="D215" s="158" t="s">
        <v>264</v>
      </c>
      <c r="E215" s="89"/>
      <c r="F215" s="142"/>
      <c r="G215" s="91"/>
      <c r="H215" s="91"/>
      <c r="I215" s="176"/>
      <c r="K215" s="134"/>
    </row>
    <row r="216" spans="1:19" s="112" customFormat="1" ht="13.5" customHeight="1">
      <c r="A216" s="171"/>
      <c r="B216" s="158"/>
      <c r="C216" s="158"/>
      <c r="D216" s="158" t="s">
        <v>265</v>
      </c>
      <c r="E216" s="158"/>
      <c r="F216" s="113"/>
      <c r="G216" s="172"/>
      <c r="H216" s="172"/>
      <c r="I216" s="173"/>
      <c r="J216" s="567"/>
      <c r="K216" s="134"/>
      <c r="S216" s="605"/>
    </row>
    <row r="217" spans="1:19" s="112" customFormat="1" ht="13.5" customHeight="1">
      <c r="A217" s="171"/>
      <c r="B217" s="158"/>
      <c r="C217" s="158"/>
      <c r="D217" s="158" t="s">
        <v>266</v>
      </c>
      <c r="E217" s="158"/>
      <c r="F217" s="113"/>
      <c r="G217" s="172"/>
      <c r="H217" s="172"/>
      <c r="I217" s="173"/>
      <c r="J217" s="567"/>
      <c r="K217" s="134"/>
      <c r="S217" s="605"/>
    </row>
    <row r="218" spans="1:19" s="112" customFormat="1" ht="13.5" customHeight="1">
      <c r="A218" s="171"/>
      <c r="B218" s="158"/>
      <c r="C218" s="158"/>
      <c r="D218" s="80" t="s">
        <v>267</v>
      </c>
      <c r="E218" s="158"/>
      <c r="F218" s="113"/>
      <c r="G218" s="172"/>
      <c r="H218" s="172"/>
      <c r="I218" s="173"/>
      <c r="K218" s="134"/>
    </row>
    <row r="219" spans="1:19" s="112" customFormat="1" ht="13.5" customHeight="1">
      <c r="A219" s="171"/>
      <c r="B219" s="158"/>
      <c r="C219" s="158"/>
      <c r="D219" s="158" t="s">
        <v>133</v>
      </c>
      <c r="E219" s="158"/>
      <c r="F219" s="113"/>
      <c r="G219" s="172"/>
      <c r="H219" s="172"/>
      <c r="I219" s="173"/>
      <c r="K219" s="134"/>
    </row>
    <row r="220" spans="1:19" s="100" customFormat="1" ht="13.5" customHeight="1">
      <c r="A220" s="96">
        <v>28</v>
      </c>
      <c r="B220" s="97" t="s">
        <v>54</v>
      </c>
      <c r="C220" s="97" t="s">
        <v>268</v>
      </c>
      <c r="D220" s="97" t="s">
        <v>269</v>
      </c>
      <c r="E220" s="97" t="s">
        <v>44</v>
      </c>
      <c r="F220" s="236">
        <f>SUM(F221:F221)</f>
        <v>20</v>
      </c>
      <c r="G220" s="106">
        <v>429</v>
      </c>
      <c r="H220" s="133">
        <f>F220*G220</f>
        <v>8580</v>
      </c>
      <c r="I220" s="99" t="s">
        <v>45</v>
      </c>
      <c r="K220" s="134"/>
    </row>
    <row r="221" spans="1:19" s="100" customFormat="1" ht="13.5" customHeight="1">
      <c r="A221" s="102"/>
      <c r="B221" s="103"/>
      <c r="C221" s="103"/>
      <c r="D221" s="101" t="s">
        <v>270</v>
      </c>
      <c r="E221" s="103"/>
      <c r="F221" s="113">
        <v>20</v>
      </c>
      <c r="G221" s="110"/>
      <c r="H221" s="106"/>
      <c r="I221" s="109"/>
      <c r="K221" s="134"/>
    </row>
    <row r="222" spans="1:19" s="100" customFormat="1" ht="13.5" customHeight="1">
      <c r="A222" s="102"/>
      <c r="B222" s="103"/>
      <c r="C222" s="103"/>
      <c r="D222" s="101" t="s">
        <v>64</v>
      </c>
      <c r="E222" s="103"/>
      <c r="F222" s="113"/>
      <c r="G222" s="110"/>
      <c r="H222" s="106"/>
      <c r="I222" s="109"/>
      <c r="K222" s="134"/>
    </row>
    <row r="223" spans="1:19" s="451" customFormat="1" ht="13.5" customHeight="1">
      <c r="A223" s="505"/>
      <c r="B223" s="475"/>
      <c r="C223" s="475">
        <v>765</v>
      </c>
      <c r="D223" s="475" t="s">
        <v>94</v>
      </c>
      <c r="E223" s="475"/>
      <c r="F223" s="476"/>
      <c r="G223" s="506"/>
      <c r="H223" s="506">
        <f>SUM(H224:H233)</f>
        <v>1618722</v>
      </c>
      <c r="I223" s="507"/>
      <c r="J223" s="586"/>
      <c r="K223" s="134"/>
      <c r="L223" s="587"/>
      <c r="M223" s="586"/>
    </row>
    <row r="224" spans="1:19" s="451" customFormat="1" ht="13.5" customHeight="1">
      <c r="A224" s="497">
        <v>29</v>
      </c>
      <c r="B224" s="498">
        <v>765</v>
      </c>
      <c r="C224" s="498" t="s">
        <v>271</v>
      </c>
      <c r="D224" s="498" t="s">
        <v>634</v>
      </c>
      <c r="E224" s="498" t="s">
        <v>48</v>
      </c>
      <c r="F224" s="499">
        <f>SUM(F225:F233)</f>
        <v>770.82</v>
      </c>
      <c r="G224" s="499">
        <v>2100</v>
      </c>
      <c r="H224" s="500">
        <f>F224*G224</f>
        <v>1618722</v>
      </c>
      <c r="I224" s="501" t="s">
        <v>569</v>
      </c>
      <c r="J224" s="586"/>
      <c r="K224" s="134"/>
      <c r="L224" s="587"/>
      <c r="M224" s="586"/>
      <c r="N224" s="539"/>
    </row>
    <row r="225" spans="1:19" s="451" customFormat="1" ht="13.5" customHeight="1">
      <c r="A225" s="452"/>
      <c r="B225" s="453"/>
      <c r="C225" s="453"/>
      <c r="D225" s="454" t="s">
        <v>635</v>
      </c>
      <c r="E225" s="453"/>
      <c r="F225" s="113">
        <v>770.82</v>
      </c>
      <c r="G225" s="456"/>
      <c r="H225" s="457"/>
      <c r="I225" s="502"/>
      <c r="J225" s="586"/>
      <c r="K225" s="134"/>
      <c r="L225" s="587"/>
      <c r="M225" s="586"/>
    </row>
    <row r="226" spans="1:19" s="451" customFormat="1" ht="13.5" customHeight="1">
      <c r="A226" s="452"/>
      <c r="B226" s="453"/>
      <c r="C226" s="453"/>
      <c r="D226" s="503" t="s">
        <v>80</v>
      </c>
      <c r="E226" s="453"/>
      <c r="F226" s="455"/>
      <c r="G226" s="456"/>
      <c r="H226" s="457"/>
      <c r="I226" s="502"/>
      <c r="J226" s="586"/>
      <c r="K226" s="134"/>
      <c r="L226" s="587"/>
      <c r="M226" s="586"/>
    </row>
    <row r="227" spans="1:19" s="451" customFormat="1" ht="27" customHeight="1">
      <c r="A227" s="452"/>
      <c r="B227" s="453"/>
      <c r="C227" s="453"/>
      <c r="D227" s="454" t="s">
        <v>636</v>
      </c>
      <c r="E227" s="453"/>
      <c r="F227" s="455"/>
      <c r="G227" s="456"/>
      <c r="H227" s="457"/>
      <c r="I227" s="458"/>
      <c r="J227" s="586"/>
      <c r="K227" s="134"/>
      <c r="L227" s="587"/>
      <c r="M227" s="586"/>
    </row>
    <row r="228" spans="1:19" s="451" customFormat="1" ht="13.5" customHeight="1">
      <c r="A228" s="452"/>
      <c r="B228" s="453"/>
      <c r="C228" s="453"/>
      <c r="D228" s="454" t="s">
        <v>272</v>
      </c>
      <c r="E228" s="453"/>
      <c r="F228" s="455"/>
      <c r="G228" s="456"/>
      <c r="H228" s="457"/>
      <c r="I228" s="458"/>
      <c r="J228" s="586"/>
      <c r="K228" s="134"/>
      <c r="L228" s="587"/>
      <c r="M228" s="586"/>
      <c r="N228" s="92"/>
    </row>
    <row r="229" spans="1:19" s="451" customFormat="1" ht="13.5" customHeight="1">
      <c r="A229" s="452"/>
      <c r="B229" s="453"/>
      <c r="C229" s="453"/>
      <c r="D229" s="454" t="s">
        <v>273</v>
      </c>
      <c r="E229" s="453"/>
      <c r="F229" s="455"/>
      <c r="G229" s="456"/>
      <c r="H229" s="457"/>
      <c r="I229" s="458"/>
      <c r="J229" s="586"/>
      <c r="K229" s="134"/>
      <c r="L229" s="587"/>
      <c r="M229" s="586"/>
      <c r="N229" s="92"/>
    </row>
    <row r="230" spans="1:19" s="451" customFormat="1" ht="27" customHeight="1">
      <c r="A230" s="452"/>
      <c r="B230" s="453"/>
      <c r="C230" s="453"/>
      <c r="D230" s="504" t="s">
        <v>274</v>
      </c>
      <c r="E230" s="453"/>
      <c r="F230" s="455"/>
      <c r="G230" s="456"/>
      <c r="H230" s="457"/>
      <c r="I230" s="458"/>
      <c r="J230" s="586"/>
      <c r="K230" s="134"/>
      <c r="L230" s="587"/>
      <c r="M230" s="586"/>
      <c r="N230" s="539"/>
    </row>
    <row r="231" spans="1:19" s="451" customFormat="1" ht="13.5" customHeight="1">
      <c r="A231" s="452"/>
      <c r="B231" s="453"/>
      <c r="C231" s="453"/>
      <c r="D231" s="504" t="s">
        <v>275</v>
      </c>
      <c r="E231" s="453"/>
      <c r="F231" s="455"/>
      <c r="G231" s="456"/>
      <c r="H231" s="457"/>
      <c r="I231" s="458"/>
      <c r="J231" s="586"/>
      <c r="K231" s="134"/>
      <c r="L231" s="587"/>
      <c r="M231" s="586"/>
      <c r="N231" s="539"/>
    </row>
    <row r="232" spans="1:19" s="451" customFormat="1" ht="13.5" customHeight="1">
      <c r="A232" s="452"/>
      <c r="B232" s="453"/>
      <c r="C232" s="453"/>
      <c r="D232" s="454" t="s">
        <v>276</v>
      </c>
      <c r="E232" s="453"/>
      <c r="F232" s="455"/>
      <c r="G232" s="456"/>
      <c r="H232" s="457"/>
      <c r="I232" s="458"/>
      <c r="J232" s="586"/>
      <c r="K232" s="134"/>
      <c r="L232" s="587"/>
      <c r="M232" s="586"/>
    </row>
    <row r="233" spans="1:19" s="451" customFormat="1" ht="27" customHeight="1">
      <c r="A233" s="452"/>
      <c r="B233" s="453"/>
      <c r="C233" s="453"/>
      <c r="D233" s="504" t="s">
        <v>637</v>
      </c>
      <c r="E233" s="453"/>
      <c r="F233" s="455"/>
      <c r="G233" s="456"/>
      <c r="H233" s="457"/>
      <c r="I233" s="458"/>
      <c r="J233" s="586"/>
      <c r="K233" s="134"/>
      <c r="L233" s="587"/>
      <c r="M233" s="586"/>
    </row>
    <row r="234" spans="1:19" s="100" customFormat="1" ht="13.5" customHeight="1">
      <c r="A234" s="146"/>
      <c r="B234" s="147"/>
      <c r="C234" s="147">
        <v>766</v>
      </c>
      <c r="D234" s="147" t="s">
        <v>95</v>
      </c>
      <c r="E234" s="147"/>
      <c r="F234" s="148"/>
      <c r="G234" s="149"/>
      <c r="H234" s="149">
        <f>SUM(H235:H266)</f>
        <v>931600</v>
      </c>
      <c r="I234" s="163"/>
      <c r="J234" s="598"/>
      <c r="K234" s="134"/>
      <c r="L234" s="599"/>
    </row>
    <row r="235" spans="1:19" s="243" customFormat="1" ht="13.5" customHeight="1">
      <c r="A235" s="239">
        <v>30</v>
      </c>
      <c r="B235" s="240">
        <v>766</v>
      </c>
      <c r="C235" s="241" t="s">
        <v>277</v>
      </c>
      <c r="D235" s="241" t="s">
        <v>278</v>
      </c>
      <c r="E235" s="241" t="s">
        <v>23</v>
      </c>
      <c r="F235" s="236">
        <f>SUM(F237:F237)</f>
        <v>1</v>
      </c>
      <c r="G235" s="242">
        <v>530000</v>
      </c>
      <c r="H235" s="133">
        <f>F235*G235</f>
        <v>530000</v>
      </c>
      <c r="I235" s="196" t="s">
        <v>49</v>
      </c>
      <c r="J235" s="100"/>
      <c r="K235" s="134"/>
      <c r="L235" s="601"/>
      <c r="M235" s="602"/>
    </row>
    <row r="236" spans="1:19" s="243" customFormat="1" ht="13.5" customHeight="1">
      <c r="A236" s="239"/>
      <c r="B236" s="240"/>
      <c r="C236" s="241"/>
      <c r="D236" s="250" t="s">
        <v>279</v>
      </c>
      <c r="E236" s="241"/>
      <c r="F236" s="246"/>
      <c r="G236" s="242"/>
      <c r="H236" s="242"/>
      <c r="I236" s="196"/>
      <c r="J236" s="100"/>
      <c r="K236" s="134"/>
      <c r="L236" s="601"/>
    </row>
    <row r="237" spans="1:19" s="243" customFormat="1" ht="13.5" customHeight="1">
      <c r="A237" s="239"/>
      <c r="B237" s="240"/>
      <c r="C237" s="241"/>
      <c r="D237" s="250" t="s">
        <v>557</v>
      </c>
      <c r="E237" s="241"/>
      <c r="F237" s="246">
        <v>1</v>
      </c>
      <c r="G237" s="242"/>
      <c r="H237" s="242"/>
      <c r="I237" s="196"/>
      <c r="J237" s="100"/>
      <c r="K237" s="134"/>
      <c r="L237" s="601"/>
    </row>
    <row r="238" spans="1:19" s="92" customFormat="1" ht="13.5" customHeight="1">
      <c r="A238" s="170"/>
      <c r="B238" s="89"/>
      <c r="C238" s="89"/>
      <c r="D238" s="80" t="s">
        <v>80</v>
      </c>
      <c r="E238" s="89"/>
      <c r="F238" s="142"/>
      <c r="G238" s="91"/>
      <c r="H238" s="91"/>
      <c r="I238" s="176"/>
      <c r="J238" s="100"/>
      <c r="K238" s="134"/>
    </row>
    <row r="239" spans="1:19" s="233" customFormat="1" ht="13.5" customHeight="1">
      <c r="A239" s="230"/>
      <c r="B239" s="231"/>
      <c r="C239" s="231"/>
      <c r="D239" s="231" t="s">
        <v>280</v>
      </c>
      <c r="E239" s="231"/>
      <c r="F239" s="207"/>
      <c r="G239" s="232"/>
      <c r="H239" s="232"/>
      <c r="I239" s="234"/>
      <c r="J239" s="100"/>
      <c r="K239" s="134"/>
    </row>
    <row r="240" spans="1:19" s="233" customFormat="1" ht="27" customHeight="1">
      <c r="A240" s="230"/>
      <c r="B240" s="231"/>
      <c r="C240" s="231"/>
      <c r="D240" s="231" t="s">
        <v>281</v>
      </c>
      <c r="E240" s="231"/>
      <c r="F240" s="207"/>
      <c r="G240" s="232"/>
      <c r="H240" s="232"/>
      <c r="I240" s="234"/>
      <c r="J240" s="591"/>
      <c r="K240" s="134"/>
      <c r="S240" s="592"/>
    </row>
    <row r="241" spans="1:19" s="233" customFormat="1" ht="13.5" customHeight="1">
      <c r="A241" s="230"/>
      <c r="B241" s="231"/>
      <c r="C241" s="231"/>
      <c r="D241" s="231" t="s">
        <v>133</v>
      </c>
      <c r="E241" s="231"/>
      <c r="F241" s="207"/>
      <c r="G241" s="232"/>
      <c r="H241" s="232"/>
      <c r="I241" s="234"/>
      <c r="K241" s="134"/>
    </row>
    <row r="242" spans="1:19" s="243" customFormat="1" ht="13.5" customHeight="1">
      <c r="A242" s="239">
        <v>31</v>
      </c>
      <c r="B242" s="240">
        <v>766</v>
      </c>
      <c r="C242" s="241" t="s">
        <v>282</v>
      </c>
      <c r="D242" s="241" t="s">
        <v>558</v>
      </c>
      <c r="E242" s="241" t="s">
        <v>23</v>
      </c>
      <c r="F242" s="236">
        <f>SUM(F243:F243)</f>
        <v>1</v>
      </c>
      <c r="G242" s="242">
        <v>150000</v>
      </c>
      <c r="H242" s="133">
        <f>F242*G242</f>
        <v>150000</v>
      </c>
      <c r="I242" s="196" t="s">
        <v>49</v>
      </c>
      <c r="J242" s="100"/>
      <c r="K242" s="134"/>
      <c r="L242" s="601"/>
      <c r="M242" s="602"/>
    </row>
    <row r="243" spans="1:19" s="243" customFormat="1" ht="13.5" customHeight="1">
      <c r="A243" s="239"/>
      <c r="B243" s="240"/>
      <c r="C243" s="241"/>
      <c r="D243" s="250" t="s">
        <v>283</v>
      </c>
      <c r="E243" s="241"/>
      <c r="F243" s="246">
        <v>1</v>
      </c>
      <c r="G243" s="242"/>
      <c r="H243" s="242"/>
      <c r="I243" s="196"/>
      <c r="J243" s="600"/>
      <c r="K243" s="134"/>
      <c r="L243" s="601"/>
    </row>
    <row r="244" spans="1:19" s="92" customFormat="1" ht="13.5" customHeight="1">
      <c r="A244" s="170"/>
      <c r="B244" s="89"/>
      <c r="C244" s="89"/>
      <c r="D244" s="80" t="s">
        <v>80</v>
      </c>
      <c r="E244" s="89"/>
      <c r="F244" s="142"/>
      <c r="G244" s="91"/>
      <c r="H244" s="91"/>
      <c r="I244" s="176"/>
      <c r="K244" s="134"/>
    </row>
    <row r="245" spans="1:19" s="233" customFormat="1" ht="13.5" customHeight="1">
      <c r="A245" s="230"/>
      <c r="B245" s="231"/>
      <c r="C245" s="231"/>
      <c r="D245" s="231" t="s">
        <v>284</v>
      </c>
      <c r="E245" s="231"/>
      <c r="F245" s="207"/>
      <c r="G245" s="232"/>
      <c r="H245" s="232"/>
      <c r="I245" s="234"/>
      <c r="K245" s="134"/>
    </row>
    <row r="246" spans="1:19" s="233" customFormat="1" ht="27" customHeight="1">
      <c r="A246" s="230"/>
      <c r="B246" s="231"/>
      <c r="C246" s="231"/>
      <c r="D246" s="231" t="s">
        <v>285</v>
      </c>
      <c r="E246" s="231"/>
      <c r="F246" s="207"/>
      <c r="G246" s="232"/>
      <c r="H246" s="232"/>
      <c r="I246" s="234"/>
      <c r="J246" s="591"/>
      <c r="K246" s="134"/>
      <c r="S246" s="592"/>
    </row>
    <row r="247" spans="1:19" s="233" customFormat="1" ht="13.5" customHeight="1">
      <c r="A247" s="230"/>
      <c r="B247" s="231"/>
      <c r="C247" s="231"/>
      <c r="D247" s="231" t="s">
        <v>133</v>
      </c>
      <c r="E247" s="231"/>
      <c r="F247" s="207"/>
      <c r="G247" s="232"/>
      <c r="H247" s="232"/>
      <c r="I247" s="234"/>
      <c r="K247" s="134"/>
    </row>
    <row r="248" spans="1:19" s="243" customFormat="1" ht="13.5" customHeight="1">
      <c r="A248" s="239">
        <v>32</v>
      </c>
      <c r="B248" s="240">
        <v>766</v>
      </c>
      <c r="C248" s="241" t="s">
        <v>287</v>
      </c>
      <c r="D248" s="241" t="s">
        <v>503</v>
      </c>
      <c r="E248" s="241" t="s">
        <v>23</v>
      </c>
      <c r="F248" s="236">
        <f>SUM(F249:F249)</f>
        <v>1</v>
      </c>
      <c r="G248" s="242">
        <v>40000</v>
      </c>
      <c r="H248" s="133">
        <f>F248*G248</f>
        <v>40000</v>
      </c>
      <c r="I248" s="196" t="s">
        <v>49</v>
      </c>
      <c r="J248" s="600"/>
      <c r="K248" s="134"/>
      <c r="L248" s="601"/>
      <c r="M248" s="602"/>
    </row>
    <row r="249" spans="1:19" s="243" customFormat="1" ht="13.5" customHeight="1">
      <c r="A249" s="239"/>
      <c r="B249" s="240"/>
      <c r="C249" s="241"/>
      <c r="D249" s="250" t="s">
        <v>286</v>
      </c>
      <c r="E249" s="241"/>
      <c r="F249" s="246">
        <v>1</v>
      </c>
      <c r="G249" s="242"/>
      <c r="H249" s="242"/>
      <c r="I249" s="196"/>
      <c r="J249" s="600"/>
      <c r="K249" s="134"/>
      <c r="L249" s="601"/>
    </row>
    <row r="250" spans="1:19" s="92" customFormat="1" ht="13.5" customHeight="1">
      <c r="A250" s="170"/>
      <c r="B250" s="89"/>
      <c r="C250" s="89"/>
      <c r="D250" s="80" t="s">
        <v>80</v>
      </c>
      <c r="E250" s="89"/>
      <c r="F250" s="142"/>
      <c r="G250" s="91"/>
      <c r="H250" s="91"/>
      <c r="I250" s="176"/>
      <c r="K250" s="134"/>
    </row>
    <row r="251" spans="1:19" s="233" customFormat="1" ht="13.5" customHeight="1">
      <c r="A251" s="230"/>
      <c r="B251" s="231"/>
      <c r="C251" s="231"/>
      <c r="D251" s="231" t="s">
        <v>284</v>
      </c>
      <c r="E251" s="231"/>
      <c r="F251" s="207"/>
      <c r="G251" s="232"/>
      <c r="H251" s="232"/>
      <c r="I251" s="234"/>
      <c r="K251" s="134"/>
    </row>
    <row r="252" spans="1:19" s="233" customFormat="1" ht="27" customHeight="1">
      <c r="A252" s="230"/>
      <c r="B252" s="231"/>
      <c r="C252" s="231"/>
      <c r="D252" s="231" t="s">
        <v>285</v>
      </c>
      <c r="E252" s="231"/>
      <c r="F252" s="207"/>
      <c r="G252" s="232"/>
      <c r="H252" s="232"/>
      <c r="I252" s="234"/>
      <c r="J252" s="591"/>
      <c r="K252" s="134"/>
      <c r="S252" s="592"/>
    </row>
    <row r="253" spans="1:19" s="233" customFormat="1" ht="13.5" customHeight="1">
      <c r="A253" s="230"/>
      <c r="B253" s="231"/>
      <c r="C253" s="231"/>
      <c r="D253" s="231" t="s">
        <v>133</v>
      </c>
      <c r="E253" s="231"/>
      <c r="F253" s="207"/>
      <c r="G253" s="232"/>
      <c r="H253" s="232"/>
      <c r="I253" s="234"/>
      <c r="K253" s="134"/>
    </row>
    <row r="254" spans="1:19" s="243" customFormat="1" ht="13.5" customHeight="1">
      <c r="A254" s="239">
        <v>33</v>
      </c>
      <c r="B254" s="240" t="s">
        <v>288</v>
      </c>
      <c r="C254" s="241" t="s">
        <v>289</v>
      </c>
      <c r="D254" s="241" t="s">
        <v>290</v>
      </c>
      <c r="E254" s="241" t="s">
        <v>23</v>
      </c>
      <c r="F254" s="236">
        <f>SUM(F255:F255)</f>
        <v>1</v>
      </c>
      <c r="G254" s="242">
        <v>200000</v>
      </c>
      <c r="H254" s="133">
        <f>F254*G254</f>
        <v>200000</v>
      </c>
      <c r="I254" s="196" t="s">
        <v>49</v>
      </c>
      <c r="J254" s="600"/>
      <c r="K254" s="134"/>
      <c r="L254" s="601"/>
      <c r="M254" s="602"/>
    </row>
    <row r="255" spans="1:19" s="243" customFormat="1" ht="13.5" customHeight="1">
      <c r="A255" s="244"/>
      <c r="B255" s="245"/>
      <c r="C255" s="245"/>
      <c r="D255" s="179" t="s">
        <v>291</v>
      </c>
      <c r="E255" s="178"/>
      <c r="F255" s="246">
        <v>1</v>
      </c>
      <c r="G255" s="247"/>
      <c r="H255" s="247"/>
      <c r="I255" s="248"/>
      <c r="J255" s="249"/>
      <c r="K255" s="134"/>
      <c r="L255" s="603"/>
      <c r="N255" s="604"/>
      <c r="R255" s="602"/>
    </row>
    <row r="256" spans="1:19" s="92" customFormat="1" ht="13.5" customHeight="1">
      <c r="A256" s="170"/>
      <c r="B256" s="89"/>
      <c r="C256" s="89"/>
      <c r="D256" s="80" t="s">
        <v>80</v>
      </c>
      <c r="E256" s="89"/>
      <c r="F256" s="142"/>
      <c r="G256" s="91"/>
      <c r="H256" s="91"/>
      <c r="I256" s="176"/>
      <c r="K256" s="134"/>
    </row>
    <row r="257" spans="1:19" s="233" customFormat="1" ht="13.5" customHeight="1">
      <c r="A257" s="230"/>
      <c r="B257" s="231"/>
      <c r="C257" s="231"/>
      <c r="D257" s="231" t="s">
        <v>292</v>
      </c>
      <c r="E257" s="231"/>
      <c r="F257" s="207"/>
      <c r="G257" s="232"/>
      <c r="H257" s="232"/>
      <c r="I257" s="234"/>
      <c r="K257" s="134"/>
    </row>
    <row r="258" spans="1:19" s="233" customFormat="1" ht="13.5" customHeight="1">
      <c r="A258" s="230"/>
      <c r="B258" s="231"/>
      <c r="C258" s="231"/>
      <c r="D258" s="231" t="s">
        <v>293</v>
      </c>
      <c r="E258" s="231"/>
      <c r="F258" s="207"/>
      <c r="G258" s="232"/>
      <c r="H258" s="232"/>
      <c r="I258" s="234"/>
      <c r="J258" s="591"/>
      <c r="K258" s="134"/>
      <c r="S258" s="592"/>
    </row>
    <row r="259" spans="1:19" s="233" customFormat="1" ht="13.5" customHeight="1">
      <c r="A259" s="230"/>
      <c r="B259" s="231"/>
      <c r="C259" s="231"/>
      <c r="D259" s="231" t="s">
        <v>294</v>
      </c>
      <c r="E259" s="231"/>
      <c r="F259" s="207"/>
      <c r="G259" s="232"/>
      <c r="H259" s="232"/>
      <c r="I259" s="234"/>
      <c r="K259" s="134"/>
    </row>
    <row r="260" spans="1:19" s="233" customFormat="1" ht="13.5" customHeight="1">
      <c r="A260" s="230"/>
      <c r="B260" s="231"/>
      <c r="C260" s="231"/>
      <c r="D260" s="231" t="s">
        <v>295</v>
      </c>
      <c r="E260" s="231"/>
      <c r="F260" s="207"/>
      <c r="G260" s="232"/>
      <c r="H260" s="232"/>
      <c r="I260" s="234"/>
      <c r="J260" s="591"/>
      <c r="K260" s="134"/>
      <c r="S260" s="592"/>
    </row>
    <row r="261" spans="1:19" s="233" customFormat="1" ht="27" customHeight="1">
      <c r="A261" s="230"/>
      <c r="B261" s="231"/>
      <c r="C261" s="231"/>
      <c r="D261" s="80" t="s">
        <v>296</v>
      </c>
      <c r="E261" s="231"/>
      <c r="F261" s="207"/>
      <c r="G261" s="232"/>
      <c r="H261" s="232"/>
      <c r="I261" s="234"/>
      <c r="K261" s="134"/>
    </row>
    <row r="262" spans="1:19" s="233" customFormat="1" ht="13.5" customHeight="1">
      <c r="A262" s="230"/>
      <c r="B262" s="231"/>
      <c r="C262" s="231"/>
      <c r="D262" s="80" t="s">
        <v>297</v>
      </c>
      <c r="E262" s="231"/>
      <c r="F262" s="207"/>
      <c r="G262" s="232"/>
      <c r="H262" s="232"/>
      <c r="I262" s="234"/>
      <c r="J262" s="609"/>
      <c r="K262" s="134"/>
    </row>
    <row r="263" spans="1:19" s="233" customFormat="1" ht="13.5" customHeight="1">
      <c r="A263" s="230"/>
      <c r="B263" s="231"/>
      <c r="C263" s="231"/>
      <c r="D263" s="231" t="s">
        <v>133</v>
      </c>
      <c r="E263" s="231"/>
      <c r="F263" s="207"/>
      <c r="G263" s="232"/>
      <c r="H263" s="232"/>
      <c r="I263" s="234"/>
      <c r="K263" s="134"/>
    </row>
    <row r="264" spans="1:19" s="216" customFormat="1" ht="13.5" customHeight="1">
      <c r="A264" s="213">
        <v>34</v>
      </c>
      <c r="B264" s="73" t="s">
        <v>54</v>
      </c>
      <c r="C264" s="73" t="s">
        <v>298</v>
      </c>
      <c r="D264" s="73" t="s">
        <v>299</v>
      </c>
      <c r="E264" s="73" t="s">
        <v>44</v>
      </c>
      <c r="F264" s="236">
        <f>SUM(F265:F265)</f>
        <v>25</v>
      </c>
      <c r="G264" s="215">
        <v>464</v>
      </c>
      <c r="H264" s="133">
        <f>F264*G264</f>
        <v>11600</v>
      </c>
      <c r="I264" s="251" t="s">
        <v>45</v>
      </c>
      <c r="K264" s="134"/>
    </row>
    <row r="265" spans="1:19" s="78" customFormat="1" ht="13.5" customHeight="1">
      <c r="A265" s="217"/>
      <c r="B265" s="218"/>
      <c r="C265" s="218"/>
      <c r="D265" s="76" t="s">
        <v>300</v>
      </c>
      <c r="E265" s="218"/>
      <c r="F265" s="207">
        <v>25</v>
      </c>
      <c r="G265" s="220"/>
      <c r="H265" s="215"/>
      <c r="I265" s="212"/>
      <c r="K265" s="134"/>
    </row>
    <row r="266" spans="1:19" s="78" customFormat="1" ht="13.5" customHeight="1">
      <c r="A266" s="217"/>
      <c r="B266" s="218"/>
      <c r="C266" s="218"/>
      <c r="D266" s="76" t="s">
        <v>64</v>
      </c>
      <c r="E266" s="218"/>
      <c r="F266" s="207"/>
      <c r="G266" s="220"/>
      <c r="H266" s="215"/>
      <c r="I266" s="212"/>
      <c r="K266" s="134"/>
    </row>
    <row r="267" spans="1:19" s="100" customFormat="1" ht="13.5" customHeight="1">
      <c r="A267" s="146"/>
      <c r="B267" s="147"/>
      <c r="C267" s="147">
        <v>767</v>
      </c>
      <c r="D267" s="147" t="s">
        <v>96</v>
      </c>
      <c r="E267" s="147"/>
      <c r="F267" s="148"/>
      <c r="G267" s="149"/>
      <c r="H267" s="149">
        <f>SUM(H268:H281)</f>
        <v>276960</v>
      </c>
      <c r="I267" s="163"/>
      <c r="J267" s="598"/>
      <c r="K267" s="134"/>
      <c r="L267" s="599"/>
    </row>
    <row r="268" spans="1:19" s="243" customFormat="1" ht="13.5" customHeight="1">
      <c r="A268" s="239">
        <v>35</v>
      </c>
      <c r="B268" s="240" t="s">
        <v>301</v>
      </c>
      <c r="C268" s="241" t="s">
        <v>302</v>
      </c>
      <c r="D268" s="241" t="s">
        <v>546</v>
      </c>
      <c r="E268" s="241" t="s">
        <v>23</v>
      </c>
      <c r="F268" s="236">
        <f>SUM(F269:F269)</f>
        <v>1</v>
      </c>
      <c r="G268" s="242">
        <v>270000</v>
      </c>
      <c r="H268" s="133">
        <f>F268*G268</f>
        <v>270000</v>
      </c>
      <c r="I268" s="99" t="s">
        <v>49</v>
      </c>
      <c r="J268" s="600"/>
      <c r="K268" s="134"/>
      <c r="L268" s="601"/>
      <c r="M268" s="602"/>
    </row>
    <row r="269" spans="1:19" s="243" customFormat="1" ht="13.5" customHeight="1">
      <c r="A269" s="244"/>
      <c r="B269" s="245"/>
      <c r="C269" s="245"/>
      <c r="D269" s="179" t="s">
        <v>303</v>
      </c>
      <c r="E269" s="178"/>
      <c r="F269" s="246">
        <v>1</v>
      </c>
      <c r="G269" s="247"/>
      <c r="H269" s="247"/>
      <c r="I269" s="248"/>
      <c r="J269" s="249"/>
      <c r="K269" s="134"/>
      <c r="L269" s="603"/>
      <c r="N269" s="604"/>
      <c r="R269" s="602"/>
    </row>
    <row r="270" spans="1:19" s="92" customFormat="1" ht="13.5" customHeight="1">
      <c r="A270" s="170"/>
      <c r="B270" s="89"/>
      <c r="C270" s="89"/>
      <c r="D270" s="80" t="s">
        <v>80</v>
      </c>
      <c r="E270" s="89"/>
      <c r="F270" s="142"/>
      <c r="G270" s="91"/>
      <c r="H270" s="91"/>
      <c r="I270" s="176"/>
      <c r="J270" s="600"/>
      <c r="K270" s="134"/>
    </row>
    <row r="271" spans="1:19" s="112" customFormat="1" ht="13.5" customHeight="1">
      <c r="A271" s="171"/>
      <c r="B271" s="158"/>
      <c r="C271" s="158"/>
      <c r="D271" s="158" t="s">
        <v>304</v>
      </c>
      <c r="E271" s="158"/>
      <c r="F271" s="113"/>
      <c r="G271" s="172"/>
      <c r="H271" s="172"/>
      <c r="I271" s="173"/>
      <c r="K271" s="134"/>
    </row>
    <row r="272" spans="1:19" s="112" customFormat="1" ht="13.5" customHeight="1">
      <c r="A272" s="171"/>
      <c r="B272" s="158"/>
      <c r="C272" s="158"/>
      <c r="D272" s="158" t="s">
        <v>305</v>
      </c>
      <c r="E272" s="158"/>
      <c r="F272" s="113"/>
      <c r="G272" s="172"/>
      <c r="H272" s="172"/>
      <c r="I272" s="173"/>
      <c r="J272" s="567"/>
      <c r="K272" s="134"/>
      <c r="S272" s="605"/>
    </row>
    <row r="273" spans="1:13" s="112" customFormat="1" ht="13.5" customHeight="1">
      <c r="A273" s="171"/>
      <c r="B273" s="158"/>
      <c r="C273" s="158"/>
      <c r="D273" s="80" t="s">
        <v>306</v>
      </c>
      <c r="E273" s="158"/>
      <c r="F273" s="113"/>
      <c r="G273" s="172"/>
      <c r="H273" s="172"/>
      <c r="I273" s="173"/>
      <c r="K273" s="134"/>
    </row>
    <row r="274" spans="1:13" s="112" customFormat="1" ht="13.5" customHeight="1">
      <c r="A274" s="171"/>
      <c r="B274" s="158"/>
      <c r="C274" s="158"/>
      <c r="D274" s="80" t="s">
        <v>307</v>
      </c>
      <c r="E274" s="158"/>
      <c r="F274" s="113"/>
      <c r="G274" s="172"/>
      <c r="H274" s="172"/>
      <c r="I274" s="173"/>
      <c r="K274" s="134"/>
    </row>
    <row r="275" spans="1:13" s="112" customFormat="1" ht="13.5" customHeight="1">
      <c r="A275" s="171"/>
      <c r="B275" s="158"/>
      <c r="C275" s="158"/>
      <c r="D275" s="80" t="s">
        <v>379</v>
      </c>
      <c r="E275" s="158"/>
      <c r="F275" s="113"/>
      <c r="G275" s="172"/>
      <c r="H275" s="172"/>
      <c r="I275" s="173"/>
      <c r="K275" s="134"/>
    </row>
    <row r="276" spans="1:13" s="112" customFormat="1" ht="13.5" customHeight="1">
      <c r="A276" s="171"/>
      <c r="B276" s="158"/>
      <c r="C276" s="158"/>
      <c r="D276" s="80" t="s">
        <v>308</v>
      </c>
      <c r="E276" s="158"/>
      <c r="F276" s="113"/>
      <c r="G276" s="172"/>
      <c r="H276" s="172"/>
      <c r="I276" s="173"/>
      <c r="K276" s="134"/>
    </row>
    <row r="277" spans="1:13" s="112" customFormat="1" ht="13.5" customHeight="1">
      <c r="A277" s="171"/>
      <c r="B277" s="158"/>
      <c r="C277" s="158"/>
      <c r="D277" s="80" t="s">
        <v>309</v>
      </c>
      <c r="E277" s="158"/>
      <c r="F277" s="113"/>
      <c r="G277" s="172"/>
      <c r="H277" s="172"/>
      <c r="I277" s="173"/>
      <c r="K277" s="134"/>
    </row>
    <row r="278" spans="1:13" s="112" customFormat="1" ht="13.5" customHeight="1">
      <c r="A278" s="171"/>
      <c r="B278" s="158"/>
      <c r="C278" s="158"/>
      <c r="D278" s="158" t="s">
        <v>133</v>
      </c>
      <c r="E278" s="158"/>
      <c r="F278" s="113"/>
      <c r="G278" s="172"/>
      <c r="H278" s="172"/>
      <c r="I278" s="173"/>
      <c r="K278" s="134"/>
    </row>
    <row r="279" spans="1:13" s="100" customFormat="1" ht="13.5" customHeight="1">
      <c r="A279" s="96">
        <v>36</v>
      </c>
      <c r="B279" s="97" t="s">
        <v>54</v>
      </c>
      <c r="C279" s="97" t="s">
        <v>310</v>
      </c>
      <c r="D279" s="97" t="s">
        <v>311</v>
      </c>
      <c r="E279" s="97" t="s">
        <v>44</v>
      </c>
      <c r="F279" s="236">
        <f>SUM(F280:F280)</f>
        <v>15</v>
      </c>
      <c r="G279" s="215">
        <v>464</v>
      </c>
      <c r="H279" s="133">
        <f>F279*G279</f>
        <v>6960</v>
      </c>
      <c r="I279" s="251" t="s">
        <v>45</v>
      </c>
      <c r="K279" s="134"/>
    </row>
    <row r="280" spans="1:13" s="100" customFormat="1" ht="13.5" customHeight="1">
      <c r="A280" s="102"/>
      <c r="B280" s="103"/>
      <c r="C280" s="103"/>
      <c r="D280" s="101" t="s">
        <v>270</v>
      </c>
      <c r="E280" s="103"/>
      <c r="F280" s="113">
        <v>15</v>
      </c>
      <c r="G280" s="110"/>
      <c r="H280" s="106"/>
      <c r="I280" s="109"/>
      <c r="K280" s="134"/>
    </row>
    <row r="281" spans="1:13" s="100" customFormat="1" ht="13.5" customHeight="1">
      <c r="A281" s="102"/>
      <c r="B281" s="103"/>
      <c r="C281" s="103"/>
      <c r="D281" s="101" t="s">
        <v>64</v>
      </c>
      <c r="E281" s="103"/>
      <c r="F281" s="113"/>
      <c r="G281" s="110"/>
      <c r="H281" s="106"/>
      <c r="I281" s="109"/>
      <c r="K281" s="134"/>
    </row>
    <row r="282" spans="1:13" s="88" customFormat="1" ht="13.5" customHeight="1">
      <c r="A282" s="228"/>
      <c r="B282" s="147"/>
      <c r="C282" s="147">
        <v>771</v>
      </c>
      <c r="D282" s="147" t="s">
        <v>97</v>
      </c>
      <c r="E282" s="147"/>
      <c r="F282" s="148"/>
      <c r="G282" s="148"/>
      <c r="H282" s="148">
        <f>SUM(H283:H296)</f>
        <v>164364</v>
      </c>
      <c r="I282" s="99"/>
      <c r="J282" s="610"/>
      <c r="K282" s="134"/>
      <c r="L282" s="611"/>
      <c r="M282" s="100"/>
    </row>
    <row r="283" spans="1:13" s="100" customFormat="1" ht="13.5" customHeight="1">
      <c r="A283" s="165">
        <v>37</v>
      </c>
      <c r="B283" s="97">
        <v>771</v>
      </c>
      <c r="C283" s="97" t="s">
        <v>312</v>
      </c>
      <c r="D283" s="97" t="s">
        <v>560</v>
      </c>
      <c r="E283" s="97" t="s">
        <v>48</v>
      </c>
      <c r="F283" s="98">
        <f>SUM(F284)</f>
        <v>38.19</v>
      </c>
      <c r="G283" s="98">
        <v>4100</v>
      </c>
      <c r="H283" s="133">
        <f>F283*G283</f>
        <v>156579</v>
      </c>
      <c r="I283" s="99" t="s">
        <v>49</v>
      </c>
      <c r="J283" s="610"/>
      <c r="K283" s="134"/>
    </row>
    <row r="284" spans="1:13" s="100" customFormat="1" ht="13.5" customHeight="1">
      <c r="A284" s="102"/>
      <c r="B284" s="103"/>
      <c r="C284" s="103"/>
      <c r="D284" s="101" t="s">
        <v>561</v>
      </c>
      <c r="E284" s="103"/>
      <c r="F284" s="113">
        <f>3.19+6.13+7.75+7.91+13.21</f>
        <v>38.19</v>
      </c>
      <c r="G284" s="110"/>
      <c r="H284" s="106"/>
      <c r="I284" s="440"/>
      <c r="K284" s="134"/>
    </row>
    <row r="285" spans="1:13" s="100" customFormat="1" ht="13.5" customHeight="1">
      <c r="A285" s="102"/>
      <c r="B285" s="103"/>
      <c r="C285" s="103"/>
      <c r="D285" s="101" t="s">
        <v>80</v>
      </c>
      <c r="E285" s="103"/>
      <c r="F285" s="113"/>
      <c r="G285" s="110"/>
      <c r="H285" s="106"/>
      <c r="I285" s="440"/>
      <c r="K285" s="134"/>
    </row>
    <row r="286" spans="1:13" s="100" customFormat="1" ht="13.5" customHeight="1">
      <c r="A286" s="441"/>
      <c r="B286" s="442"/>
      <c r="C286" s="442"/>
      <c r="D286" s="101" t="s">
        <v>640</v>
      </c>
      <c r="E286" s="442"/>
      <c r="F286" s="443"/>
      <c r="G286" s="444"/>
      <c r="H286" s="430"/>
      <c r="I286" s="445"/>
      <c r="K286" s="134"/>
    </row>
    <row r="287" spans="1:13" s="100" customFormat="1" ht="13.5" customHeight="1">
      <c r="A287" s="102"/>
      <c r="B287" s="103"/>
      <c r="C287" s="103"/>
      <c r="D287" s="101" t="s">
        <v>313</v>
      </c>
      <c r="E287" s="103"/>
      <c r="F287" s="113"/>
      <c r="G287" s="110"/>
      <c r="H287" s="106"/>
      <c r="I287" s="109"/>
      <c r="J287" s="612"/>
      <c r="K287" s="134"/>
    </row>
    <row r="288" spans="1:13" s="100" customFormat="1" ht="13.5" customHeight="1">
      <c r="A288" s="102"/>
      <c r="B288" s="103"/>
      <c r="C288" s="103"/>
      <c r="D288" s="101" t="s">
        <v>314</v>
      </c>
      <c r="E288" s="103"/>
      <c r="F288" s="113"/>
      <c r="G288" s="110"/>
      <c r="H288" s="106"/>
      <c r="I288" s="109"/>
      <c r="K288" s="134"/>
    </row>
    <row r="289" spans="1:13" s="100" customFormat="1" ht="13.5" customHeight="1">
      <c r="A289" s="102"/>
      <c r="B289" s="103"/>
      <c r="C289" s="103"/>
      <c r="D289" s="101" t="s">
        <v>315</v>
      </c>
      <c r="E289" s="103"/>
      <c r="F289" s="113"/>
      <c r="G289" s="110"/>
      <c r="H289" s="106"/>
      <c r="I289" s="109"/>
      <c r="K289" s="134"/>
    </row>
    <row r="290" spans="1:13" s="100" customFormat="1" ht="13.5" customHeight="1">
      <c r="A290" s="102"/>
      <c r="B290" s="103"/>
      <c r="C290" s="103"/>
      <c r="D290" s="101" t="s">
        <v>316</v>
      </c>
      <c r="E290" s="103"/>
      <c r="F290" s="113"/>
      <c r="G290" s="110"/>
      <c r="H290" s="106"/>
      <c r="I290" s="109"/>
      <c r="K290" s="134"/>
    </row>
    <row r="291" spans="1:13" s="100" customFormat="1" ht="13.5" customHeight="1">
      <c r="A291" s="102"/>
      <c r="B291" s="103"/>
      <c r="C291" s="103"/>
      <c r="D291" s="101" t="s">
        <v>317</v>
      </c>
      <c r="E291" s="103"/>
      <c r="F291" s="113"/>
      <c r="G291" s="110"/>
      <c r="H291" s="106"/>
      <c r="I291" s="109"/>
      <c r="K291" s="134"/>
    </row>
    <row r="292" spans="1:13" s="111" customFormat="1" ht="40.5" customHeight="1">
      <c r="A292" s="165"/>
      <c r="B292" s="105"/>
      <c r="C292" s="97"/>
      <c r="D292" s="101" t="s">
        <v>318</v>
      </c>
      <c r="E292" s="97"/>
      <c r="F292" s="113"/>
      <c r="G292" s="98"/>
      <c r="H292" s="98"/>
      <c r="I292" s="99"/>
      <c r="J292" s="613"/>
      <c r="K292" s="134"/>
    </row>
    <row r="293" spans="1:13" s="111" customFormat="1" ht="13.5" customHeight="1">
      <c r="A293" s="165"/>
      <c r="B293" s="105"/>
      <c r="C293" s="97"/>
      <c r="D293" s="101" t="s">
        <v>319</v>
      </c>
      <c r="E293" s="97"/>
      <c r="F293" s="113"/>
      <c r="G293" s="98"/>
      <c r="H293" s="98"/>
      <c r="I293" s="99"/>
      <c r="K293" s="134"/>
    </row>
    <row r="294" spans="1:13" s="100" customFormat="1" ht="13.5" customHeight="1">
      <c r="A294" s="165">
        <v>38</v>
      </c>
      <c r="B294" s="97" t="s">
        <v>54</v>
      </c>
      <c r="C294" s="97" t="s">
        <v>320</v>
      </c>
      <c r="D294" s="97" t="s">
        <v>321</v>
      </c>
      <c r="E294" s="97" t="s">
        <v>44</v>
      </c>
      <c r="F294" s="98">
        <f>F295</f>
        <v>15</v>
      </c>
      <c r="G294" s="98">
        <v>519</v>
      </c>
      <c r="H294" s="133">
        <f>F294*G294</f>
        <v>7785</v>
      </c>
      <c r="I294" s="99" t="s">
        <v>45</v>
      </c>
      <c r="J294" s="568"/>
      <c r="K294" s="134"/>
    </row>
    <row r="295" spans="1:13" s="111" customFormat="1" ht="13.5" customHeight="1">
      <c r="A295" s="165"/>
      <c r="B295" s="105"/>
      <c r="C295" s="97"/>
      <c r="D295" s="101" t="s">
        <v>322</v>
      </c>
      <c r="E295" s="97"/>
      <c r="F295" s="113">
        <v>15</v>
      </c>
      <c r="G295" s="98"/>
      <c r="H295" s="98"/>
      <c r="I295" s="99"/>
      <c r="K295" s="134"/>
    </row>
    <row r="296" spans="1:13" s="111" customFormat="1" ht="27" customHeight="1">
      <c r="A296" s="165"/>
      <c r="B296" s="105"/>
      <c r="C296" s="97"/>
      <c r="D296" s="101" t="s">
        <v>323</v>
      </c>
      <c r="E296" s="97"/>
      <c r="F296" s="113"/>
      <c r="G296" s="98"/>
      <c r="H296" s="98"/>
      <c r="I296" s="99"/>
      <c r="J296" s="614"/>
      <c r="K296" s="134"/>
    </row>
    <row r="297" spans="1:13" s="100" customFormat="1" ht="13.5" customHeight="1">
      <c r="A297" s="446"/>
      <c r="B297" s="147"/>
      <c r="C297" s="147">
        <v>776</v>
      </c>
      <c r="D297" s="147" t="s">
        <v>98</v>
      </c>
      <c r="E297" s="147"/>
      <c r="F297" s="148"/>
      <c r="G297" s="148"/>
      <c r="H297" s="148">
        <f>SUM(H298:H311)</f>
        <v>121272.99999999999</v>
      </c>
      <c r="I297" s="109"/>
      <c r="J297" s="252"/>
      <c r="K297" s="134"/>
      <c r="M297" s="616"/>
    </row>
    <row r="298" spans="1:13" s="100" customFormat="1" ht="13.5" customHeight="1">
      <c r="A298" s="165">
        <v>39</v>
      </c>
      <c r="B298" s="97">
        <v>776</v>
      </c>
      <c r="C298" s="97" t="s">
        <v>325</v>
      </c>
      <c r="D298" s="97" t="s">
        <v>566</v>
      </c>
      <c r="E298" s="97" t="s">
        <v>48</v>
      </c>
      <c r="F298" s="98">
        <f>SUM(F299:F299)</f>
        <v>27.679999999999996</v>
      </c>
      <c r="G298" s="98">
        <v>4100</v>
      </c>
      <c r="H298" s="133">
        <f>F298*G298</f>
        <v>113487.99999999999</v>
      </c>
      <c r="I298" s="99" t="s">
        <v>49</v>
      </c>
      <c r="J298" s="610"/>
      <c r="K298" s="134"/>
    </row>
    <row r="299" spans="1:13" s="100" customFormat="1" ht="13.5" customHeight="1">
      <c r="A299" s="102"/>
      <c r="B299" s="103"/>
      <c r="C299" s="103"/>
      <c r="D299" s="101" t="s">
        <v>326</v>
      </c>
      <c r="E299" s="103"/>
      <c r="F299" s="113">
        <f>8.87+8.86+9.95</f>
        <v>27.679999999999996</v>
      </c>
      <c r="G299" s="110"/>
      <c r="H299" s="106"/>
      <c r="I299" s="440"/>
      <c r="J299" s="617"/>
      <c r="K299" s="134"/>
    </row>
    <row r="300" spans="1:13" s="100" customFormat="1" ht="13.5" customHeight="1">
      <c r="A300" s="102"/>
      <c r="B300" s="103"/>
      <c r="C300" s="103"/>
      <c r="D300" s="101" t="s">
        <v>80</v>
      </c>
      <c r="E300" s="103"/>
      <c r="F300" s="113"/>
      <c r="G300" s="110"/>
      <c r="H300" s="106"/>
      <c r="I300" s="440"/>
      <c r="K300" s="134"/>
    </row>
    <row r="301" spans="1:13" s="100" customFormat="1" ht="13.5" customHeight="1">
      <c r="A301" s="102"/>
      <c r="B301" s="103"/>
      <c r="C301" s="103"/>
      <c r="D301" s="101" t="s">
        <v>567</v>
      </c>
      <c r="E301" s="103"/>
      <c r="F301" s="113"/>
      <c r="G301" s="110"/>
      <c r="H301" s="106"/>
      <c r="I301" s="109"/>
      <c r="J301" s="612"/>
      <c r="K301" s="134"/>
    </row>
    <row r="302" spans="1:13" s="100" customFormat="1" ht="13.5" customHeight="1">
      <c r="A302" s="102"/>
      <c r="B302" s="103"/>
      <c r="C302" s="103"/>
      <c r="D302" s="101" t="s">
        <v>327</v>
      </c>
      <c r="E302" s="103"/>
      <c r="F302" s="113"/>
      <c r="G302" s="110"/>
      <c r="H302" s="106"/>
      <c r="I302" s="109"/>
      <c r="J302" s="612"/>
      <c r="K302" s="134"/>
    </row>
    <row r="303" spans="1:13" s="100" customFormat="1" ht="13.5" customHeight="1">
      <c r="A303" s="102"/>
      <c r="B303" s="103"/>
      <c r="C303" s="103"/>
      <c r="D303" s="101" t="s">
        <v>314</v>
      </c>
      <c r="E303" s="103"/>
      <c r="F303" s="113"/>
      <c r="G303" s="110"/>
      <c r="H303" s="106"/>
      <c r="I303" s="109"/>
      <c r="K303" s="134"/>
    </row>
    <row r="304" spans="1:13" s="100" customFormat="1" ht="13.5" customHeight="1">
      <c r="A304" s="102"/>
      <c r="B304" s="103"/>
      <c r="C304" s="103"/>
      <c r="D304" s="101" t="s">
        <v>315</v>
      </c>
      <c r="E304" s="103"/>
      <c r="F304" s="113"/>
      <c r="G304" s="110"/>
      <c r="H304" s="106"/>
      <c r="I304" s="109"/>
      <c r="K304" s="134"/>
    </row>
    <row r="305" spans="1:14" s="100" customFormat="1" ht="13.5" customHeight="1">
      <c r="A305" s="102"/>
      <c r="B305" s="103"/>
      <c r="C305" s="103"/>
      <c r="D305" s="101" t="s">
        <v>316</v>
      </c>
      <c r="E305" s="103"/>
      <c r="F305" s="113"/>
      <c r="G305" s="110"/>
      <c r="H305" s="106"/>
      <c r="I305" s="109"/>
      <c r="K305" s="134"/>
    </row>
    <row r="306" spans="1:14" s="100" customFormat="1" ht="13.5" customHeight="1">
      <c r="A306" s="102"/>
      <c r="B306" s="103"/>
      <c r="C306" s="103"/>
      <c r="D306" s="101" t="s">
        <v>317</v>
      </c>
      <c r="E306" s="103"/>
      <c r="F306" s="113"/>
      <c r="G306" s="110"/>
      <c r="H306" s="106"/>
      <c r="I306" s="109"/>
      <c r="K306" s="134"/>
    </row>
    <row r="307" spans="1:14" s="100" customFormat="1" ht="40.5" customHeight="1">
      <c r="A307" s="102"/>
      <c r="B307" s="103"/>
      <c r="C307" s="103"/>
      <c r="D307" s="101" t="s">
        <v>328</v>
      </c>
      <c r="E307" s="103"/>
      <c r="F307" s="113"/>
      <c r="G307" s="110"/>
      <c r="H307" s="106"/>
      <c r="I307" s="109"/>
      <c r="K307" s="134"/>
    </row>
    <row r="308" spans="1:14" s="100" customFormat="1" ht="13.5" customHeight="1">
      <c r="A308" s="102"/>
      <c r="B308" s="103"/>
      <c r="C308" s="103"/>
      <c r="D308" s="101" t="s">
        <v>329</v>
      </c>
      <c r="E308" s="103"/>
      <c r="F308" s="113"/>
      <c r="G308" s="110"/>
      <c r="H308" s="106"/>
      <c r="I308" s="109"/>
      <c r="K308" s="134"/>
    </row>
    <row r="309" spans="1:14" s="111" customFormat="1" ht="13.5" customHeight="1">
      <c r="A309" s="403">
        <v>40</v>
      </c>
      <c r="B309" s="97" t="s">
        <v>54</v>
      </c>
      <c r="C309" s="97" t="s">
        <v>320</v>
      </c>
      <c r="D309" s="97" t="s">
        <v>321</v>
      </c>
      <c r="E309" s="97" t="s">
        <v>44</v>
      </c>
      <c r="F309" s="98">
        <f>F310</f>
        <v>15</v>
      </c>
      <c r="G309" s="98">
        <v>519</v>
      </c>
      <c r="H309" s="133">
        <f>F309*G309</f>
        <v>7785</v>
      </c>
      <c r="I309" s="196" t="s">
        <v>45</v>
      </c>
      <c r="K309" s="134"/>
    </row>
    <row r="310" spans="1:14" s="100" customFormat="1" ht="13.5" customHeight="1">
      <c r="A310" s="459"/>
      <c r="B310" s="103"/>
      <c r="C310" s="103"/>
      <c r="D310" s="101" t="s">
        <v>330</v>
      </c>
      <c r="E310" s="103"/>
      <c r="F310" s="113">
        <v>15</v>
      </c>
      <c r="G310" s="104"/>
      <c r="H310" s="98"/>
      <c r="I310" s="109"/>
      <c r="K310" s="134"/>
    </row>
    <row r="311" spans="1:14" s="100" customFormat="1" ht="27" customHeight="1">
      <c r="A311" s="459"/>
      <c r="B311" s="103"/>
      <c r="C311" s="103"/>
      <c r="D311" s="101" t="s">
        <v>67</v>
      </c>
      <c r="E311" s="103"/>
      <c r="F311" s="113"/>
      <c r="G311" s="104"/>
      <c r="H311" s="98"/>
      <c r="I311" s="109"/>
      <c r="J311" s="618"/>
      <c r="K311" s="134"/>
      <c r="L311" s="619"/>
      <c r="M311" s="619"/>
    </row>
    <row r="312" spans="1:14" s="100" customFormat="1" ht="13.5" customHeight="1">
      <c r="A312" s="446"/>
      <c r="B312" s="147"/>
      <c r="C312" s="147">
        <v>777</v>
      </c>
      <c r="D312" s="147" t="s">
        <v>99</v>
      </c>
      <c r="E312" s="147"/>
      <c r="F312" s="148"/>
      <c r="G312" s="148"/>
      <c r="H312" s="148">
        <f>SUM(H313:H325)</f>
        <v>5112626.6500000004</v>
      </c>
      <c r="I312" s="109"/>
      <c r="J312" s="252"/>
      <c r="K312" s="134"/>
      <c r="M312" s="616"/>
    </row>
    <row r="313" spans="1:14" s="100" customFormat="1" ht="13.5" customHeight="1">
      <c r="A313" s="165">
        <v>41</v>
      </c>
      <c r="B313" s="97">
        <v>777</v>
      </c>
      <c r="C313" s="97" t="s">
        <v>331</v>
      </c>
      <c r="D313" s="97" t="s">
        <v>563</v>
      </c>
      <c r="E313" s="97" t="s">
        <v>48</v>
      </c>
      <c r="F313" s="98">
        <f>SUM(F314)</f>
        <v>1489.51</v>
      </c>
      <c r="G313" s="98">
        <v>3415</v>
      </c>
      <c r="H313" s="133">
        <f>F313*G313</f>
        <v>5086676.6500000004</v>
      </c>
      <c r="I313" s="99" t="s">
        <v>49</v>
      </c>
      <c r="J313" s="537"/>
      <c r="K313" s="134"/>
      <c r="L313" s="538"/>
      <c r="M313" s="537"/>
      <c r="N313" s="539"/>
    </row>
    <row r="314" spans="1:14" s="100" customFormat="1" ht="13.5" customHeight="1">
      <c r="A314" s="102"/>
      <c r="B314" s="103"/>
      <c r="C314" s="103"/>
      <c r="D314" s="101" t="s">
        <v>564</v>
      </c>
      <c r="E314" s="103"/>
      <c r="F314" s="113">
        <f>72.57+4.65+7.67+12+53+640.05+13.5+16.61+27.2+642.26</f>
        <v>1489.51</v>
      </c>
      <c r="G314" s="110"/>
      <c r="H314" s="106"/>
      <c r="I314" s="440"/>
      <c r="J314" s="540"/>
      <c r="K314" s="134"/>
      <c r="L314" s="538"/>
      <c r="M314" s="537"/>
      <c r="N314" s="539"/>
    </row>
    <row r="315" spans="1:14" s="100" customFormat="1" ht="13.5" customHeight="1">
      <c r="A315" s="102"/>
      <c r="B315" s="103"/>
      <c r="C315" s="103"/>
      <c r="D315" s="101" t="s">
        <v>80</v>
      </c>
      <c r="E315" s="103"/>
      <c r="F315" s="113"/>
      <c r="G315" s="110"/>
      <c r="H315" s="106"/>
      <c r="I315" s="440"/>
      <c r="J315" s="537"/>
      <c r="K315" s="134"/>
      <c r="L315" s="538"/>
      <c r="M315" s="537"/>
      <c r="N315" s="539"/>
    </row>
    <row r="316" spans="1:14" s="100" customFormat="1" ht="13.5" customHeight="1">
      <c r="A316" s="441"/>
      <c r="B316" s="442"/>
      <c r="C316" s="442"/>
      <c r="D316" s="101" t="s">
        <v>565</v>
      </c>
      <c r="E316" s="442"/>
      <c r="F316" s="443"/>
      <c r="G316" s="444"/>
      <c r="H316" s="430"/>
      <c r="I316" s="445"/>
      <c r="J316" s="537"/>
      <c r="K316" s="134"/>
      <c r="L316" s="538"/>
      <c r="M316" s="537"/>
      <c r="N316" s="539"/>
    </row>
    <row r="317" spans="1:14" s="100" customFormat="1" ht="13.5" customHeight="1">
      <c r="A317" s="102"/>
      <c r="B317" s="103"/>
      <c r="C317" s="103"/>
      <c r="D317" s="101" t="s">
        <v>332</v>
      </c>
      <c r="E317" s="103"/>
      <c r="F317" s="113"/>
      <c r="G317" s="110"/>
      <c r="H317" s="106"/>
      <c r="I317" s="109"/>
      <c r="J317" s="537"/>
      <c r="K317" s="134"/>
      <c r="L317" s="538"/>
      <c r="M317" s="537"/>
      <c r="N317" s="539"/>
    </row>
    <row r="318" spans="1:14" s="100" customFormat="1" ht="27" customHeight="1">
      <c r="A318" s="102"/>
      <c r="B318" s="103"/>
      <c r="C318" s="103"/>
      <c r="D318" s="101" t="s">
        <v>324</v>
      </c>
      <c r="E318" s="103"/>
      <c r="F318" s="113"/>
      <c r="G318" s="110"/>
      <c r="H318" s="106"/>
      <c r="I318" s="109"/>
      <c r="J318" s="537"/>
      <c r="K318" s="134"/>
      <c r="L318" s="538"/>
      <c r="M318" s="537"/>
      <c r="N318" s="539"/>
    </row>
    <row r="319" spans="1:14" s="100" customFormat="1" ht="13.5" customHeight="1">
      <c r="A319" s="102"/>
      <c r="B319" s="103"/>
      <c r="C319" s="103"/>
      <c r="D319" s="101" t="s">
        <v>315</v>
      </c>
      <c r="E319" s="103"/>
      <c r="F319" s="113"/>
      <c r="G319" s="110"/>
      <c r="H319" s="106"/>
      <c r="I319" s="109"/>
      <c r="J319" s="537"/>
      <c r="K319" s="134"/>
      <c r="L319" s="538"/>
      <c r="M319" s="537"/>
      <c r="N319" s="539"/>
    </row>
    <row r="320" spans="1:14" s="100" customFormat="1" ht="13.5" customHeight="1">
      <c r="A320" s="102"/>
      <c r="B320" s="103"/>
      <c r="C320" s="103"/>
      <c r="D320" s="101" t="s">
        <v>316</v>
      </c>
      <c r="E320" s="103"/>
      <c r="F320" s="113"/>
      <c r="G320" s="110"/>
      <c r="H320" s="106"/>
      <c r="I320" s="109"/>
      <c r="J320" s="537"/>
      <c r="K320" s="134"/>
      <c r="L320" s="538"/>
      <c r="M320" s="537"/>
      <c r="N320" s="539"/>
    </row>
    <row r="321" spans="1:18" s="100" customFormat="1" ht="13.5" customHeight="1">
      <c r="A321" s="102"/>
      <c r="B321" s="103"/>
      <c r="C321" s="103"/>
      <c r="D321" s="101" t="s">
        <v>317</v>
      </c>
      <c r="E321" s="103"/>
      <c r="F321" s="113"/>
      <c r="G321" s="110"/>
      <c r="H321" s="106"/>
      <c r="I321" s="109"/>
      <c r="J321" s="537"/>
      <c r="K321" s="134"/>
      <c r="L321" s="538"/>
      <c r="M321" s="537"/>
      <c r="N321" s="539"/>
    </row>
    <row r="322" spans="1:18" s="111" customFormat="1" ht="40.5" customHeight="1">
      <c r="A322" s="165"/>
      <c r="B322" s="105"/>
      <c r="C322" s="97"/>
      <c r="D322" s="101" t="s">
        <v>333</v>
      </c>
      <c r="E322" s="97"/>
      <c r="F322" s="113"/>
      <c r="G322" s="98"/>
      <c r="H322" s="98"/>
      <c r="I322" s="99"/>
      <c r="J322" s="537"/>
      <c r="K322" s="134"/>
      <c r="L322" s="538"/>
      <c r="M322" s="537"/>
      <c r="N322" s="539"/>
    </row>
    <row r="323" spans="1:18" s="111" customFormat="1" ht="13.5" customHeight="1">
      <c r="A323" s="165">
        <v>42</v>
      </c>
      <c r="B323" s="105" t="s">
        <v>54</v>
      </c>
      <c r="C323" s="97" t="s">
        <v>320</v>
      </c>
      <c r="D323" s="97" t="s">
        <v>321</v>
      </c>
      <c r="E323" s="97" t="s">
        <v>44</v>
      </c>
      <c r="F323" s="98">
        <f>F324</f>
        <v>50</v>
      </c>
      <c r="G323" s="98">
        <v>519</v>
      </c>
      <c r="H323" s="133">
        <f>F323*G323</f>
        <v>25950</v>
      </c>
      <c r="I323" s="196" t="s">
        <v>45</v>
      </c>
      <c r="K323" s="134"/>
    </row>
    <row r="324" spans="1:18" s="100" customFormat="1" ht="13.5" customHeight="1">
      <c r="A324" s="197"/>
      <c r="B324" s="103"/>
      <c r="C324" s="103"/>
      <c r="D324" s="101" t="s">
        <v>334</v>
      </c>
      <c r="E324" s="103"/>
      <c r="F324" s="113">
        <v>50</v>
      </c>
      <c r="G324" s="104"/>
      <c r="H324" s="98"/>
      <c r="I324" s="109"/>
      <c r="K324" s="134"/>
    </row>
    <row r="325" spans="1:18" s="100" customFormat="1" ht="24.75" customHeight="1">
      <c r="A325" s="197"/>
      <c r="B325" s="103"/>
      <c r="C325" s="103"/>
      <c r="D325" s="101" t="s">
        <v>67</v>
      </c>
      <c r="E325" s="103"/>
      <c r="F325" s="113"/>
      <c r="G325" s="104"/>
      <c r="H325" s="98"/>
      <c r="I325" s="109"/>
      <c r="K325" s="134"/>
    </row>
    <row r="326" spans="1:18" s="100" customFormat="1" ht="13.5" customHeight="1">
      <c r="A326" s="146"/>
      <c r="B326" s="147"/>
      <c r="C326" s="147">
        <v>781</v>
      </c>
      <c r="D326" s="147" t="s">
        <v>100</v>
      </c>
      <c r="E326" s="147"/>
      <c r="F326" s="148"/>
      <c r="G326" s="149"/>
      <c r="H326" s="149">
        <f>SUM(H327:H340)</f>
        <v>92190</v>
      </c>
      <c r="I326" s="163"/>
      <c r="J326" s="598"/>
      <c r="K326" s="134"/>
      <c r="L326" s="599"/>
    </row>
    <row r="327" spans="1:18" s="243" customFormat="1" ht="13.5" customHeight="1">
      <c r="A327" s="239">
        <v>43</v>
      </c>
      <c r="B327" s="240" t="s">
        <v>335</v>
      </c>
      <c r="C327" s="241" t="s">
        <v>336</v>
      </c>
      <c r="D327" s="241" t="s">
        <v>337</v>
      </c>
      <c r="E327" s="241" t="s">
        <v>23</v>
      </c>
      <c r="F327" s="236">
        <f>SUM(F328:F328)</f>
        <v>1</v>
      </c>
      <c r="G327" s="242">
        <v>87000</v>
      </c>
      <c r="H327" s="133">
        <f>F327*G327</f>
        <v>87000</v>
      </c>
      <c r="I327" s="99" t="s">
        <v>49</v>
      </c>
      <c r="J327" s="600"/>
      <c r="K327" s="134"/>
      <c r="L327" s="601"/>
      <c r="M327" s="602"/>
    </row>
    <row r="328" spans="1:18" s="243" customFormat="1" ht="13.5" customHeight="1">
      <c r="A328" s="244"/>
      <c r="B328" s="245"/>
      <c r="C328" s="245"/>
      <c r="D328" s="179" t="s">
        <v>338</v>
      </c>
      <c r="E328" s="178"/>
      <c r="F328" s="246">
        <v>1</v>
      </c>
      <c r="G328" s="247"/>
      <c r="H328" s="247"/>
      <c r="I328" s="106"/>
      <c r="K328" s="134"/>
      <c r="L328" s="603"/>
      <c r="N328" s="604"/>
      <c r="R328" s="602"/>
    </row>
    <row r="329" spans="1:18" s="92" customFormat="1" ht="13.5" customHeight="1">
      <c r="A329" s="170"/>
      <c r="B329" s="89"/>
      <c r="C329" s="89"/>
      <c r="D329" s="80" t="s">
        <v>80</v>
      </c>
      <c r="E329" s="89"/>
      <c r="F329" s="142"/>
      <c r="G329" s="91"/>
      <c r="H329" s="91"/>
      <c r="I329" s="106"/>
      <c r="J329" s="249"/>
      <c r="K329" s="134"/>
      <c r="L329" s="603"/>
      <c r="M329" s="243"/>
    </row>
    <row r="330" spans="1:18" s="112" customFormat="1" ht="13.5" customHeight="1">
      <c r="A330" s="171"/>
      <c r="B330" s="158"/>
      <c r="C330" s="158"/>
      <c r="D330" s="158" t="s">
        <v>339</v>
      </c>
      <c r="E330" s="158"/>
      <c r="F330" s="113"/>
      <c r="G330" s="172"/>
      <c r="H330" s="172"/>
      <c r="I330" s="99"/>
      <c r="J330" s="249"/>
      <c r="K330" s="134"/>
      <c r="L330" s="92"/>
      <c r="M330" s="92"/>
      <c r="N330" s="92"/>
    </row>
    <row r="331" spans="1:18" s="112" customFormat="1" ht="13.5" customHeight="1">
      <c r="A331" s="171"/>
      <c r="B331" s="158"/>
      <c r="C331" s="158"/>
      <c r="D331" s="158" t="s">
        <v>340</v>
      </c>
      <c r="E331" s="158"/>
      <c r="F331" s="113"/>
      <c r="G331" s="172"/>
      <c r="H331" s="172"/>
      <c r="I331" s="173"/>
      <c r="J331" s="249"/>
      <c r="K331" s="134"/>
      <c r="L331" s="92"/>
      <c r="M331" s="92"/>
      <c r="N331" s="92"/>
    </row>
    <row r="332" spans="1:18" s="112" customFormat="1" ht="13.5" customHeight="1">
      <c r="A332" s="171"/>
      <c r="B332" s="158"/>
      <c r="C332" s="158"/>
      <c r="D332" s="158" t="s">
        <v>341</v>
      </c>
      <c r="E332" s="158"/>
      <c r="F332" s="113"/>
      <c r="G332" s="172"/>
      <c r="H332" s="172"/>
      <c r="I332" s="173"/>
      <c r="J332" s="249"/>
      <c r="K332" s="134"/>
    </row>
    <row r="333" spans="1:18" s="112" customFormat="1" ht="13.5" customHeight="1">
      <c r="A333" s="171"/>
      <c r="B333" s="158"/>
      <c r="C333" s="158"/>
      <c r="D333" s="158" t="s">
        <v>342</v>
      </c>
      <c r="E333" s="158"/>
      <c r="F333" s="113"/>
      <c r="G333" s="172"/>
      <c r="H333" s="172"/>
      <c r="I333" s="173"/>
      <c r="J333" s="249"/>
      <c r="K333" s="134"/>
    </row>
    <row r="334" spans="1:18" s="112" customFormat="1" ht="13.5" customHeight="1">
      <c r="A334" s="171"/>
      <c r="B334" s="158"/>
      <c r="C334" s="158"/>
      <c r="D334" s="158" t="s">
        <v>343</v>
      </c>
      <c r="E334" s="158"/>
      <c r="F334" s="113"/>
      <c r="G334" s="172"/>
      <c r="H334" s="172"/>
      <c r="I334" s="253"/>
      <c r="J334" s="249"/>
      <c r="K334" s="134"/>
    </row>
    <row r="335" spans="1:18" s="112" customFormat="1" ht="13.5" customHeight="1">
      <c r="A335" s="171"/>
      <c r="B335" s="158"/>
      <c r="C335" s="158"/>
      <c r="D335" s="158" t="s">
        <v>344</v>
      </c>
      <c r="E335" s="158"/>
      <c r="F335" s="113"/>
      <c r="G335" s="172"/>
      <c r="H335" s="172"/>
      <c r="I335" s="173"/>
      <c r="J335" s="249"/>
      <c r="K335" s="134"/>
    </row>
    <row r="336" spans="1:18" s="112" customFormat="1" ht="13.5" customHeight="1">
      <c r="A336" s="171"/>
      <c r="B336" s="158"/>
      <c r="C336" s="158"/>
      <c r="D336" s="158" t="s">
        <v>345</v>
      </c>
      <c r="E336" s="158"/>
      <c r="F336" s="113"/>
      <c r="G336" s="172"/>
      <c r="H336" s="172"/>
      <c r="I336" s="173"/>
      <c r="J336" s="249"/>
      <c r="K336" s="134"/>
    </row>
    <row r="337" spans="1:18" s="112" customFormat="1" ht="13.5" customHeight="1">
      <c r="A337" s="171"/>
      <c r="B337" s="158"/>
      <c r="C337" s="158"/>
      <c r="D337" s="80" t="s">
        <v>346</v>
      </c>
      <c r="E337" s="158"/>
      <c r="F337" s="113"/>
      <c r="G337" s="172"/>
      <c r="H337" s="172"/>
      <c r="I337" s="173"/>
      <c r="J337" s="612"/>
      <c r="K337" s="134"/>
      <c r="L337" s="100"/>
      <c r="M337" s="100"/>
      <c r="N337" s="100"/>
    </row>
    <row r="338" spans="1:18" s="100" customFormat="1" ht="13.5" customHeight="1">
      <c r="A338" s="165">
        <v>44</v>
      </c>
      <c r="B338" s="97" t="s">
        <v>54</v>
      </c>
      <c r="C338" s="97" t="s">
        <v>347</v>
      </c>
      <c r="D338" s="97" t="s">
        <v>348</v>
      </c>
      <c r="E338" s="97" t="s">
        <v>44</v>
      </c>
      <c r="F338" s="236">
        <f>SUM(F339:F339)</f>
        <v>10</v>
      </c>
      <c r="G338" s="98">
        <v>519</v>
      </c>
      <c r="H338" s="133">
        <f>F338*G338</f>
        <v>5190</v>
      </c>
      <c r="I338" s="251" t="s">
        <v>45</v>
      </c>
      <c r="J338" s="621"/>
      <c r="K338" s="134"/>
    </row>
    <row r="339" spans="1:18" s="100" customFormat="1" ht="13.5" customHeight="1">
      <c r="A339" s="197"/>
      <c r="B339" s="103"/>
      <c r="C339" s="103"/>
      <c r="D339" s="101" t="s">
        <v>349</v>
      </c>
      <c r="E339" s="103"/>
      <c r="F339" s="113">
        <v>10</v>
      </c>
      <c r="G339" s="104"/>
      <c r="H339" s="98"/>
      <c r="I339" s="109"/>
      <c r="K339" s="134"/>
    </row>
    <row r="340" spans="1:18" s="100" customFormat="1" ht="13.5" customHeight="1">
      <c r="A340" s="197"/>
      <c r="B340" s="103"/>
      <c r="C340" s="103"/>
      <c r="D340" s="101" t="s">
        <v>64</v>
      </c>
      <c r="E340" s="103"/>
      <c r="F340" s="113"/>
      <c r="G340" s="104"/>
      <c r="H340" s="98"/>
      <c r="I340" s="109"/>
      <c r="K340" s="134"/>
    </row>
    <row r="341" spans="1:18" s="100" customFormat="1" ht="13.5" customHeight="1">
      <c r="A341" s="146"/>
      <c r="B341" s="147"/>
      <c r="C341" s="147">
        <v>784</v>
      </c>
      <c r="D341" s="147" t="s">
        <v>101</v>
      </c>
      <c r="E341" s="147"/>
      <c r="F341" s="148"/>
      <c r="G341" s="149"/>
      <c r="H341" s="149">
        <f>SUM(H342:H354)</f>
        <v>1025950.0159999999</v>
      </c>
      <c r="I341" s="163"/>
      <c r="J341" s="598"/>
      <c r="K341" s="134"/>
      <c r="L341" s="599"/>
    </row>
    <row r="342" spans="1:18" s="243" customFormat="1" ht="13.5" customHeight="1">
      <c r="A342" s="239">
        <v>45</v>
      </c>
      <c r="B342" s="240" t="s">
        <v>350</v>
      </c>
      <c r="C342" s="241" t="s">
        <v>351</v>
      </c>
      <c r="D342" s="241" t="s">
        <v>352</v>
      </c>
      <c r="E342" s="241" t="s">
        <v>48</v>
      </c>
      <c r="F342" s="236">
        <f>SUM(F343:F343)</f>
        <v>3643.116</v>
      </c>
      <c r="G342" s="242">
        <v>276</v>
      </c>
      <c r="H342" s="133">
        <f>F342*G342</f>
        <v>1005500.0159999999</v>
      </c>
      <c r="I342" s="99" t="s">
        <v>49</v>
      </c>
      <c r="J342" s="249"/>
      <c r="K342" s="134"/>
    </row>
    <row r="343" spans="1:18" s="243" customFormat="1" ht="13.5" customHeight="1">
      <c r="A343" s="244"/>
      <c r="B343" s="245"/>
      <c r="C343" s="245"/>
      <c r="D343" s="179" t="s">
        <v>572</v>
      </c>
      <c r="E343" s="178"/>
      <c r="F343" s="113">
        <f>(577.36*3.6)+1564.62</f>
        <v>3643.116</v>
      </c>
      <c r="G343" s="247"/>
      <c r="H343" s="247"/>
      <c r="I343" s="106"/>
      <c r="J343" s="249"/>
      <c r="K343" s="134"/>
      <c r="L343" s="92"/>
      <c r="M343" s="92"/>
      <c r="N343" s="604"/>
      <c r="R343" s="602"/>
    </row>
    <row r="344" spans="1:18" s="92" customFormat="1" ht="13.5" customHeight="1">
      <c r="A344" s="170"/>
      <c r="B344" s="89"/>
      <c r="C344" s="89"/>
      <c r="D344" s="80" t="s">
        <v>80</v>
      </c>
      <c r="E344" s="89"/>
      <c r="F344" s="142"/>
      <c r="G344" s="91"/>
      <c r="H344" s="91"/>
      <c r="I344" s="106"/>
      <c r="J344" s="249"/>
      <c r="K344" s="134"/>
      <c r="L344" s="601"/>
      <c r="N344" s="112"/>
    </row>
    <row r="345" spans="1:18" s="112" customFormat="1" ht="13.5" customHeight="1">
      <c r="A345" s="171"/>
      <c r="B345" s="158"/>
      <c r="C345" s="158"/>
      <c r="D345" s="158" t="s">
        <v>353</v>
      </c>
      <c r="E345" s="158"/>
      <c r="F345" s="113"/>
      <c r="G345" s="172"/>
      <c r="H345" s="172"/>
      <c r="I345" s="106"/>
      <c r="J345" s="249"/>
      <c r="K345" s="134"/>
    </row>
    <row r="346" spans="1:18" s="112" customFormat="1" ht="13.5" customHeight="1">
      <c r="A346" s="171"/>
      <c r="B346" s="158"/>
      <c r="C346" s="158"/>
      <c r="D346" s="158" t="s">
        <v>354</v>
      </c>
      <c r="E346" s="158"/>
      <c r="F346" s="113"/>
      <c r="G346" s="172"/>
      <c r="H346" s="172"/>
      <c r="I346" s="173"/>
      <c r="J346" s="249"/>
      <c r="K346" s="134"/>
    </row>
    <row r="347" spans="1:18" s="112" customFormat="1" ht="13.5" customHeight="1">
      <c r="A347" s="171"/>
      <c r="B347" s="158"/>
      <c r="C347" s="158"/>
      <c r="D347" s="158" t="s">
        <v>355</v>
      </c>
      <c r="E347" s="158"/>
      <c r="F347" s="113"/>
      <c r="G347" s="172"/>
      <c r="H347" s="172"/>
      <c r="I347" s="173"/>
      <c r="J347" s="249"/>
      <c r="K347" s="134"/>
    </row>
    <row r="348" spans="1:18" s="112" customFormat="1" ht="13.5" customHeight="1">
      <c r="A348" s="171"/>
      <c r="B348" s="158"/>
      <c r="C348" s="158"/>
      <c r="D348" s="158" t="s">
        <v>356</v>
      </c>
      <c r="E348" s="158"/>
      <c r="F348" s="113"/>
      <c r="G348" s="172"/>
      <c r="H348" s="172"/>
      <c r="I348" s="173"/>
      <c r="J348" s="249"/>
      <c r="K348" s="134"/>
    </row>
    <row r="349" spans="1:18" s="112" customFormat="1" ht="13.5" customHeight="1">
      <c r="A349" s="171"/>
      <c r="B349" s="158"/>
      <c r="C349" s="158"/>
      <c r="D349" s="158" t="s">
        <v>357</v>
      </c>
      <c r="E349" s="158"/>
      <c r="F349" s="113"/>
      <c r="G349" s="172"/>
      <c r="H349" s="172"/>
      <c r="I349" s="173"/>
      <c r="J349" s="249"/>
      <c r="K349" s="134"/>
    </row>
    <row r="350" spans="1:18" s="112" customFormat="1" ht="13.5" customHeight="1">
      <c r="A350" s="171"/>
      <c r="B350" s="158"/>
      <c r="C350" s="158"/>
      <c r="D350" s="158" t="s">
        <v>358</v>
      </c>
      <c r="E350" s="158"/>
      <c r="F350" s="113"/>
      <c r="G350" s="172"/>
      <c r="H350" s="172"/>
      <c r="I350" s="173"/>
      <c r="J350" s="249"/>
      <c r="K350" s="134"/>
    </row>
    <row r="351" spans="1:18" s="112" customFormat="1" ht="13.5" customHeight="1">
      <c r="A351" s="171"/>
      <c r="B351" s="158"/>
      <c r="C351" s="158"/>
      <c r="D351" s="80" t="s">
        <v>359</v>
      </c>
      <c r="E351" s="158"/>
      <c r="F351" s="113"/>
      <c r="G351" s="172"/>
      <c r="H351" s="172"/>
      <c r="I351" s="173"/>
      <c r="J351" s="559"/>
      <c r="K351" s="134"/>
      <c r="L351" s="622"/>
    </row>
    <row r="352" spans="1:18" s="100" customFormat="1" ht="13.5" customHeight="1">
      <c r="A352" s="165">
        <v>46</v>
      </c>
      <c r="B352" s="97" t="s">
        <v>54</v>
      </c>
      <c r="C352" s="97" t="s">
        <v>68</v>
      </c>
      <c r="D352" s="97" t="s">
        <v>69</v>
      </c>
      <c r="E352" s="97" t="s">
        <v>44</v>
      </c>
      <c r="F352" s="254">
        <f>F353</f>
        <v>50</v>
      </c>
      <c r="G352" s="98">
        <v>409</v>
      </c>
      <c r="H352" s="133">
        <f>F352*G352</f>
        <v>20450</v>
      </c>
      <c r="I352" s="99" t="s">
        <v>45</v>
      </c>
      <c r="K352" s="134"/>
    </row>
    <row r="353" spans="1:47" s="100" customFormat="1" ht="13.5" customHeight="1">
      <c r="A353" s="197"/>
      <c r="B353" s="103"/>
      <c r="C353" s="103"/>
      <c r="D353" s="101" t="s">
        <v>349</v>
      </c>
      <c r="E353" s="103"/>
      <c r="F353" s="113">
        <v>50</v>
      </c>
      <c r="G353" s="104"/>
      <c r="H353" s="98"/>
      <c r="I353" s="109"/>
      <c r="K353" s="134"/>
    </row>
    <row r="354" spans="1:47" s="100" customFormat="1" ht="13.5" customHeight="1">
      <c r="A354" s="197"/>
      <c r="B354" s="103"/>
      <c r="C354" s="103"/>
      <c r="D354" s="101" t="s">
        <v>64</v>
      </c>
      <c r="E354" s="103"/>
      <c r="F354" s="113"/>
      <c r="G354" s="104"/>
      <c r="H354" s="98"/>
      <c r="I354" s="109"/>
      <c r="K354" s="134"/>
    </row>
    <row r="355" spans="1:47" s="463" customFormat="1" ht="13.5" customHeight="1">
      <c r="A355" s="255"/>
      <c r="B355" s="183"/>
      <c r="C355" s="460">
        <v>790</v>
      </c>
      <c r="D355" s="460" t="s">
        <v>102</v>
      </c>
      <c r="E355" s="461"/>
      <c r="F355" s="462"/>
      <c r="G355" s="256"/>
      <c r="H355" s="462">
        <f>SUM(H356:H360)</f>
        <v>207900</v>
      </c>
      <c r="I355" s="257"/>
      <c r="K355" s="134"/>
    </row>
    <row r="356" spans="1:47" s="100" customFormat="1" ht="27" customHeight="1">
      <c r="A356" s="192">
        <v>47</v>
      </c>
      <c r="B356" s="464">
        <v>790</v>
      </c>
      <c r="C356" s="97" t="s">
        <v>360</v>
      </c>
      <c r="D356" s="73" t="s">
        <v>361</v>
      </c>
      <c r="E356" s="193" t="s">
        <v>23</v>
      </c>
      <c r="F356" s="465">
        <f>SUM(F357)</f>
        <v>1</v>
      </c>
      <c r="G356" s="106">
        <v>200000</v>
      </c>
      <c r="H356" s="133">
        <f>F356*G356</f>
        <v>200000</v>
      </c>
      <c r="I356" s="99" t="s">
        <v>49</v>
      </c>
      <c r="J356" s="562"/>
      <c r="K356" s="134"/>
      <c r="L356" s="623"/>
    </row>
    <row r="357" spans="1:47" s="100" customFormat="1" ht="13.5" customHeight="1">
      <c r="A357" s="192"/>
      <c r="B357" s="105"/>
      <c r="C357" s="97"/>
      <c r="D357" s="101" t="s">
        <v>362</v>
      </c>
      <c r="E357" s="193"/>
      <c r="F357" s="113">
        <v>1</v>
      </c>
      <c r="G357" s="106"/>
      <c r="H357" s="381"/>
      <c r="I357" s="99"/>
      <c r="J357" s="564"/>
      <c r="K357" s="134"/>
    </row>
    <row r="358" spans="1:47" s="100" customFormat="1" ht="216" customHeight="1">
      <c r="A358" s="192"/>
      <c r="B358" s="105"/>
      <c r="C358" s="97"/>
      <c r="D358" s="195" t="s">
        <v>597</v>
      </c>
      <c r="E358" s="193"/>
      <c r="F358" s="113"/>
      <c r="G358" s="106"/>
      <c r="H358" s="381"/>
      <c r="I358" s="99"/>
      <c r="J358" s="624"/>
      <c r="K358" s="134"/>
    </row>
    <row r="359" spans="1:47" s="94" customFormat="1" ht="13.5" customHeight="1">
      <c r="A359" s="466">
        <v>48</v>
      </c>
      <c r="B359" s="467" t="s">
        <v>54</v>
      </c>
      <c r="C359" s="467" t="s">
        <v>62</v>
      </c>
      <c r="D359" s="467" t="s">
        <v>63</v>
      </c>
      <c r="E359" s="467" t="s">
        <v>44</v>
      </c>
      <c r="F359" s="468">
        <f>F360</f>
        <v>20</v>
      </c>
      <c r="G359" s="256">
        <v>395</v>
      </c>
      <c r="H359" s="133">
        <f>F359*G359</f>
        <v>7900</v>
      </c>
      <c r="I359" s="469" t="s">
        <v>45</v>
      </c>
      <c r="J359" s="625"/>
      <c r="K359" s="134"/>
      <c r="L359" s="258"/>
      <c r="M359" s="258"/>
      <c r="N359" s="258"/>
      <c r="O359" s="258"/>
      <c r="P359" s="258"/>
      <c r="Q359" s="258"/>
      <c r="R359" s="626"/>
      <c r="S359" s="258"/>
      <c r="T359" s="258"/>
      <c r="U359" s="258"/>
      <c r="V359" s="258"/>
      <c r="W359" s="258"/>
      <c r="X359" s="258"/>
      <c r="Y359" s="258"/>
      <c r="Z359" s="258"/>
      <c r="AA359" s="258"/>
      <c r="AB359" s="258"/>
      <c r="AC359" s="258"/>
      <c r="AD359" s="258"/>
      <c r="AE359" s="258"/>
      <c r="AF359" s="258"/>
      <c r="AG359" s="258"/>
      <c r="AH359" s="258"/>
      <c r="AI359" s="258"/>
      <c r="AJ359" s="258"/>
      <c r="AK359" s="258"/>
      <c r="AL359" s="258"/>
      <c r="AM359" s="258"/>
      <c r="AN359" s="258"/>
      <c r="AO359" s="258"/>
      <c r="AP359" s="258"/>
      <c r="AQ359" s="258"/>
      <c r="AR359" s="258"/>
      <c r="AS359" s="258"/>
      <c r="AT359" s="258"/>
      <c r="AU359" s="258"/>
    </row>
    <row r="360" spans="1:47" s="94" customFormat="1" ht="13.5" customHeight="1">
      <c r="A360" s="470"/>
      <c r="B360" s="471"/>
      <c r="C360" s="471"/>
      <c r="D360" s="472" t="s">
        <v>364</v>
      </c>
      <c r="E360" s="471"/>
      <c r="F360" s="473">
        <v>20</v>
      </c>
      <c r="G360" s="256"/>
      <c r="H360" s="256"/>
      <c r="I360" s="469"/>
      <c r="J360" s="625"/>
      <c r="K360" s="134"/>
      <c r="L360" s="258"/>
      <c r="M360" s="258"/>
      <c r="N360" s="258"/>
      <c r="O360" s="258"/>
      <c r="P360" s="258"/>
      <c r="Q360" s="258"/>
      <c r="R360" s="626"/>
      <c r="S360" s="258"/>
      <c r="T360" s="258"/>
      <c r="U360" s="258"/>
      <c r="V360" s="258"/>
      <c r="W360" s="258"/>
      <c r="X360" s="258"/>
      <c r="Y360" s="258"/>
      <c r="Z360" s="258"/>
      <c r="AA360" s="258"/>
      <c r="AB360" s="258"/>
      <c r="AC360" s="258"/>
      <c r="AD360" s="258"/>
      <c r="AE360" s="258"/>
      <c r="AF360" s="258"/>
      <c r="AG360" s="258"/>
      <c r="AH360" s="258"/>
      <c r="AI360" s="258"/>
      <c r="AJ360" s="258"/>
      <c r="AK360" s="258"/>
      <c r="AL360" s="258"/>
      <c r="AM360" s="258"/>
      <c r="AN360" s="258"/>
      <c r="AO360" s="258"/>
      <c r="AP360" s="258"/>
      <c r="AQ360" s="258"/>
      <c r="AR360" s="258"/>
      <c r="AS360" s="258"/>
      <c r="AT360" s="258"/>
      <c r="AU360" s="258"/>
    </row>
    <row r="361" spans="1:47" s="100" customFormat="1" ht="21" customHeight="1">
      <c r="A361" s="146"/>
      <c r="B361" s="174"/>
      <c r="C361" s="147" t="s">
        <v>70</v>
      </c>
      <c r="D361" s="147" t="s">
        <v>71</v>
      </c>
      <c r="E361" s="147"/>
      <c r="F361" s="148"/>
      <c r="G361" s="149"/>
      <c r="H361" s="149">
        <f>H362</f>
        <v>2224850</v>
      </c>
      <c r="I361" s="109"/>
      <c r="J361" s="537"/>
      <c r="K361" s="134"/>
      <c r="L361" s="538"/>
      <c r="M361" s="537"/>
      <c r="N361" s="539"/>
    </row>
    <row r="362" spans="1:47" s="116" customFormat="1" ht="13.5" customHeight="1">
      <c r="A362" s="146"/>
      <c r="B362" s="147"/>
      <c r="C362" s="147" t="s">
        <v>103</v>
      </c>
      <c r="D362" s="147" t="s">
        <v>104</v>
      </c>
      <c r="E362" s="147"/>
      <c r="F362" s="148"/>
      <c r="G362" s="149"/>
      <c r="H362" s="149">
        <f>SUM(H363:H372)</f>
        <v>2224850</v>
      </c>
      <c r="I362" s="109"/>
      <c r="J362" s="537"/>
      <c r="K362" s="134"/>
      <c r="L362" s="538"/>
      <c r="M362" s="537"/>
      <c r="N362" s="539"/>
    </row>
    <row r="363" spans="1:47" s="116" customFormat="1" ht="13.5" customHeight="1">
      <c r="A363" s="96">
        <v>49</v>
      </c>
      <c r="B363" s="105" t="s">
        <v>365</v>
      </c>
      <c r="C363" s="97" t="s">
        <v>366</v>
      </c>
      <c r="D363" s="97" t="s">
        <v>367</v>
      </c>
      <c r="E363" s="97" t="s">
        <v>23</v>
      </c>
      <c r="F363" s="98">
        <f>SUM(F365:F365)</f>
        <v>1</v>
      </c>
      <c r="G363" s="106">
        <v>2200000</v>
      </c>
      <c r="H363" s="133">
        <f>F363*G363</f>
        <v>2200000</v>
      </c>
      <c r="I363" s="99" t="s">
        <v>49</v>
      </c>
      <c r="J363" s="537"/>
      <c r="K363" s="134"/>
      <c r="L363" s="538"/>
      <c r="M363" s="537"/>
      <c r="N363" s="539"/>
    </row>
    <row r="364" spans="1:47" s="116" customFormat="1" ht="13.5" customHeight="1">
      <c r="A364" s="96"/>
      <c r="B364" s="105"/>
      <c r="C364" s="97"/>
      <c r="D364" s="101" t="s">
        <v>368</v>
      </c>
      <c r="E364" s="97"/>
      <c r="F364" s="98"/>
      <c r="G364" s="106"/>
      <c r="H364" s="106"/>
      <c r="I364" s="99"/>
      <c r="J364" s="537"/>
      <c r="K364" s="134"/>
      <c r="L364" s="538"/>
      <c r="M364" s="537"/>
      <c r="N364" s="539"/>
    </row>
    <row r="365" spans="1:47" s="116" customFormat="1" ht="13.5" customHeight="1">
      <c r="A365" s="96"/>
      <c r="B365" s="105"/>
      <c r="C365" s="97"/>
      <c r="D365" s="101" t="s">
        <v>369</v>
      </c>
      <c r="E365" s="97"/>
      <c r="F365" s="113">
        <v>1</v>
      </c>
      <c r="G365" s="106"/>
      <c r="H365" s="106"/>
      <c r="I365" s="150"/>
      <c r="J365" s="537"/>
      <c r="K365" s="134"/>
      <c r="L365" s="538"/>
      <c r="M365" s="537"/>
      <c r="N365" s="539"/>
    </row>
    <row r="366" spans="1:47" s="116" customFormat="1" ht="40.5" customHeight="1">
      <c r="A366" s="96"/>
      <c r="B366" s="105"/>
      <c r="C366" s="97"/>
      <c r="D366" s="101" t="s">
        <v>370</v>
      </c>
      <c r="E366" s="97"/>
      <c r="F366" s="113"/>
      <c r="G366" s="106"/>
      <c r="H366" s="106"/>
      <c r="I366" s="150"/>
      <c r="J366" s="537"/>
      <c r="K366" s="134"/>
      <c r="L366" s="538"/>
      <c r="M366" s="537"/>
      <c r="N366" s="539"/>
    </row>
    <row r="367" spans="1:47" s="116" customFormat="1" ht="27" customHeight="1">
      <c r="A367" s="96"/>
      <c r="B367" s="105"/>
      <c r="C367" s="97"/>
      <c r="D367" s="101" t="s">
        <v>371</v>
      </c>
      <c r="E367" s="97"/>
      <c r="F367" s="113"/>
      <c r="G367" s="106"/>
      <c r="H367" s="106"/>
      <c r="I367" s="150"/>
      <c r="J367" s="537"/>
      <c r="K367" s="134"/>
      <c r="L367" s="538"/>
      <c r="M367" s="537"/>
      <c r="N367" s="539"/>
    </row>
    <row r="368" spans="1:47" s="116" customFormat="1" ht="27" customHeight="1">
      <c r="A368" s="96"/>
      <c r="B368" s="105"/>
      <c r="C368" s="97"/>
      <c r="D368" s="101" t="s">
        <v>372</v>
      </c>
      <c r="E368" s="97"/>
      <c r="F368" s="113"/>
      <c r="G368" s="106"/>
      <c r="H368" s="106"/>
      <c r="I368" s="150"/>
      <c r="J368" s="537"/>
      <c r="K368" s="134"/>
      <c r="L368" s="538"/>
      <c r="M368" s="537"/>
      <c r="N368" s="539"/>
    </row>
    <row r="369" spans="1:14" s="116" customFormat="1" ht="26.25" customHeight="1">
      <c r="A369" s="96"/>
      <c r="B369" s="105"/>
      <c r="C369" s="97"/>
      <c r="D369" s="101" t="s">
        <v>373</v>
      </c>
      <c r="E369" s="97"/>
      <c r="F369" s="113"/>
      <c r="G369" s="106"/>
      <c r="H369" s="106"/>
      <c r="I369" s="150"/>
      <c r="J369" s="537"/>
      <c r="K369" s="134"/>
      <c r="L369" s="538"/>
      <c r="M369" s="537"/>
      <c r="N369" s="539"/>
    </row>
    <row r="370" spans="1:14" s="116" customFormat="1" ht="13.5" customHeight="1">
      <c r="A370" s="96">
        <v>50</v>
      </c>
      <c r="B370" s="97" t="s">
        <v>54</v>
      </c>
      <c r="C370" s="97" t="s">
        <v>374</v>
      </c>
      <c r="D370" s="97" t="s">
        <v>375</v>
      </c>
      <c r="E370" s="97" t="s">
        <v>44</v>
      </c>
      <c r="F370" s="98">
        <f>F371</f>
        <v>50</v>
      </c>
      <c r="G370" s="106">
        <v>497</v>
      </c>
      <c r="H370" s="133">
        <f>F370*G370</f>
        <v>24850</v>
      </c>
      <c r="I370" s="99" t="s">
        <v>45</v>
      </c>
      <c r="J370" s="537"/>
      <c r="K370" s="134"/>
      <c r="L370" s="538"/>
      <c r="M370" s="537"/>
      <c r="N370" s="539"/>
    </row>
    <row r="371" spans="1:14" s="116" customFormat="1" ht="13.5" customHeight="1">
      <c r="A371" s="102"/>
      <c r="B371" s="103"/>
      <c r="C371" s="103"/>
      <c r="D371" s="101" t="s">
        <v>376</v>
      </c>
      <c r="E371" s="103"/>
      <c r="F371" s="113">
        <v>50</v>
      </c>
      <c r="G371" s="110"/>
      <c r="H371" s="106"/>
      <c r="I371" s="109"/>
      <c r="J371" s="537"/>
      <c r="K371" s="538"/>
      <c r="L371" s="538"/>
      <c r="M371" s="537"/>
      <c r="N371" s="539"/>
    </row>
    <row r="372" spans="1:14" s="116" customFormat="1" ht="13.5" customHeight="1">
      <c r="A372" s="102"/>
      <c r="B372" s="103"/>
      <c r="C372" s="103"/>
      <c r="D372" s="101" t="s">
        <v>64</v>
      </c>
      <c r="E372" s="103"/>
      <c r="F372" s="113"/>
      <c r="G372" s="110"/>
      <c r="H372" s="106"/>
      <c r="I372" s="109"/>
      <c r="J372" s="537"/>
      <c r="K372" s="538"/>
      <c r="L372" s="538"/>
      <c r="M372" s="100"/>
      <c r="N372" s="539"/>
    </row>
    <row r="373" spans="1:14" s="100" customFormat="1" ht="21" customHeight="1">
      <c r="A373" s="259"/>
      <c r="B373" s="260"/>
      <c r="C373" s="260"/>
      <c r="D373" s="260" t="s">
        <v>0</v>
      </c>
      <c r="E373" s="260"/>
      <c r="F373" s="261"/>
      <c r="G373" s="262"/>
      <c r="H373" s="262">
        <f>H8+H76+H361</f>
        <v>56470545.636</v>
      </c>
      <c r="I373" s="271"/>
      <c r="J373" s="114"/>
      <c r="K373" s="114"/>
      <c r="L373" s="114"/>
      <c r="M373" s="114"/>
      <c r="N373" s="114"/>
    </row>
    <row r="374" spans="1:14" s="100" customFormat="1" ht="12" customHeight="1">
      <c r="A374" s="263"/>
      <c r="B374" s="264"/>
      <c r="C374" s="264"/>
      <c r="D374" s="264"/>
      <c r="E374" s="264"/>
      <c r="F374" s="265"/>
      <c r="G374" s="266"/>
      <c r="H374" s="266"/>
      <c r="J374" s="627"/>
      <c r="K374" s="114"/>
      <c r="L374" s="114"/>
      <c r="M374" s="114"/>
      <c r="N374" s="114"/>
    </row>
    <row r="375" spans="1:14" s="100" customFormat="1" ht="13.5" customHeight="1">
      <c r="A375" s="677" t="s">
        <v>65</v>
      </c>
      <c r="B375" s="678"/>
      <c r="C375" s="679"/>
      <c r="D375" s="267" t="s">
        <v>641</v>
      </c>
      <c r="E375" s="268"/>
      <c r="F375" s="269"/>
      <c r="G375" s="270"/>
      <c r="H375" s="383">
        <f>H373</f>
        <v>56470545.636</v>
      </c>
      <c r="J375" s="114"/>
      <c r="K375" s="114"/>
      <c r="L375" s="114"/>
      <c r="M375" s="114"/>
      <c r="N375" s="114"/>
    </row>
    <row r="376" spans="1:14" s="51" customFormat="1">
      <c r="A376" s="51" t="s">
        <v>1</v>
      </c>
      <c r="J376" s="114"/>
      <c r="K376" s="114"/>
      <c r="L376" s="114"/>
      <c r="M376" s="114"/>
      <c r="N376" s="114"/>
    </row>
    <row r="377" spans="1:14" s="100" customFormat="1" ht="23.4" customHeight="1">
      <c r="A377" s="672" t="s">
        <v>66</v>
      </c>
      <c r="B377" s="680"/>
      <c r="C377" s="680"/>
      <c r="D377" s="680"/>
      <c r="E377" s="680"/>
      <c r="F377" s="680"/>
      <c r="G377" s="680"/>
      <c r="H377" s="51"/>
      <c r="J377" s="114"/>
      <c r="K377" s="114"/>
      <c r="L377" s="114"/>
      <c r="M377" s="114"/>
      <c r="N377" s="114"/>
    </row>
    <row r="378" spans="1:14" s="51" customFormat="1" ht="93.75" customHeight="1">
      <c r="A378" s="672" t="s">
        <v>24</v>
      </c>
      <c r="B378" s="681"/>
      <c r="C378" s="681"/>
      <c r="D378" s="681"/>
      <c r="E378" s="681"/>
      <c r="F378" s="681"/>
      <c r="G378" s="681"/>
      <c r="J378" s="114"/>
      <c r="K378" s="114"/>
      <c r="L378" s="114"/>
      <c r="M378" s="114"/>
      <c r="N378" s="114"/>
    </row>
    <row r="379" spans="1:14" s="111" customFormat="1" ht="13.5" customHeight="1">
      <c r="A379" s="672" t="s">
        <v>25</v>
      </c>
      <c r="B379" s="673"/>
      <c r="C379" s="673"/>
      <c r="D379" s="673"/>
      <c r="E379" s="673"/>
      <c r="F379" s="673"/>
      <c r="G379" s="673"/>
      <c r="H379" s="65"/>
      <c r="I379" s="65"/>
      <c r="J379" s="114"/>
      <c r="K379" s="114"/>
      <c r="L379" s="114"/>
      <c r="M379" s="114"/>
      <c r="N379" s="114"/>
    </row>
    <row r="380" spans="1:14" s="111" customFormat="1" ht="13.5" customHeight="1">
      <c r="A380" s="672" t="s">
        <v>26</v>
      </c>
      <c r="B380" s="673"/>
      <c r="C380" s="673"/>
      <c r="D380" s="673"/>
      <c r="E380" s="673"/>
      <c r="F380" s="673"/>
      <c r="G380" s="673"/>
      <c r="H380" s="65"/>
      <c r="I380" s="65"/>
      <c r="J380" s="114"/>
      <c r="K380" s="114"/>
      <c r="L380" s="114"/>
      <c r="M380" s="114"/>
      <c r="N380" s="114"/>
    </row>
    <row r="381" spans="1:14" s="117" customFormat="1" ht="13.5" customHeight="1">
      <c r="A381" s="674"/>
      <c r="B381" s="674"/>
      <c r="C381" s="674"/>
      <c r="D381" s="674"/>
      <c r="E381" s="674"/>
      <c r="F381" s="674"/>
      <c r="G381" s="674"/>
      <c r="H381" s="216"/>
    </row>
    <row r="382" spans="1:14" s="95" customFormat="1" ht="13.5" customHeight="1">
      <c r="A382" s="674"/>
      <c r="B382" s="674"/>
      <c r="C382" s="674"/>
      <c r="D382" s="674"/>
      <c r="E382" s="674"/>
      <c r="F382" s="674"/>
      <c r="G382" s="674"/>
    </row>
  </sheetData>
  <mergeCells count="8">
    <mergeCell ref="A379:G379"/>
    <mergeCell ref="A380:G380"/>
    <mergeCell ref="A381:G381"/>
    <mergeCell ref="A382:G382"/>
    <mergeCell ref="A2:I2"/>
    <mergeCell ref="A375:C375"/>
    <mergeCell ref="A377:G377"/>
    <mergeCell ref="A378:G37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0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B816D-6266-4D70-A955-07E17D425706}">
  <sheetPr>
    <pageSetUpPr fitToPage="1"/>
  </sheetPr>
  <dimension ref="A1:IV461"/>
  <sheetViews>
    <sheetView zoomScaleNormal="100" workbookViewId="0"/>
  </sheetViews>
  <sheetFormatPr defaultColWidth="9.28515625" defaultRowHeight="14.4"/>
  <cols>
    <col min="1" max="2" width="5.42578125" style="114" customWidth="1"/>
    <col min="3" max="3" width="15.28515625" style="114" customWidth="1"/>
    <col min="4" max="4" width="75.42578125" style="114" customWidth="1"/>
    <col min="5" max="5" width="7.7109375" style="114" customWidth="1"/>
    <col min="6" max="6" width="11.7109375" style="114" customWidth="1"/>
    <col min="7" max="7" width="12.85546875" style="114" customWidth="1"/>
    <col min="8" max="8" width="18.85546875" style="114" customWidth="1"/>
    <col min="9" max="9" width="19.7109375" style="114" customWidth="1"/>
    <col min="10" max="10" width="18.140625" style="114" customWidth="1"/>
    <col min="11" max="11" width="19" style="114" customWidth="1"/>
    <col min="12" max="12" width="17.28515625" style="114" customWidth="1"/>
    <col min="13" max="13" width="13.7109375" style="114" customWidth="1"/>
    <col min="14" max="14" width="16.28515625" style="114" customWidth="1"/>
    <col min="15" max="17" width="9.28515625" style="114"/>
    <col min="18" max="18" width="13.28515625" style="114" bestFit="1" customWidth="1"/>
    <col min="19" max="19" width="16.28515625" style="114" customWidth="1"/>
    <col min="20" max="20" width="9.28515625" style="114"/>
    <col min="21" max="21" width="11.42578125" style="114" bestFit="1" customWidth="1"/>
    <col min="22" max="16384" width="9.28515625" style="114"/>
  </cols>
  <sheetData>
    <row r="1" spans="1:40" s="100" customFormat="1" ht="20.25" customHeight="1">
      <c r="A1" s="393" t="s">
        <v>30</v>
      </c>
      <c r="B1" s="376"/>
      <c r="C1" s="376"/>
      <c r="D1" s="376"/>
      <c r="E1" s="376"/>
      <c r="F1" s="376"/>
      <c r="G1" s="376"/>
      <c r="I1" s="394"/>
    </row>
    <row r="2" spans="1:40" ht="13.5" customHeight="1">
      <c r="A2" s="675" t="s">
        <v>504</v>
      </c>
      <c r="B2" s="676"/>
      <c r="C2" s="676"/>
      <c r="D2" s="676"/>
      <c r="E2" s="676"/>
      <c r="F2" s="676"/>
      <c r="G2" s="676"/>
      <c r="H2" s="676"/>
      <c r="I2" s="676"/>
      <c r="J2" s="520"/>
    </row>
    <row r="3" spans="1:40" ht="13.5" customHeight="1">
      <c r="A3" s="395" t="s">
        <v>505</v>
      </c>
      <c r="B3" s="396"/>
      <c r="C3" s="396"/>
      <c r="D3" s="396"/>
      <c r="E3" s="396"/>
      <c r="F3" s="376"/>
      <c r="G3" s="376"/>
      <c r="H3" s="100"/>
      <c r="I3" s="100"/>
    </row>
    <row r="4" spans="1:40" ht="13.5" customHeight="1">
      <c r="A4" s="397" t="s">
        <v>513</v>
      </c>
      <c r="B4" s="375"/>
      <c r="C4" s="375"/>
      <c r="D4" s="375"/>
      <c r="E4" s="375"/>
      <c r="F4" s="375"/>
      <c r="G4" s="375"/>
      <c r="H4" s="375"/>
      <c r="I4" s="375"/>
    </row>
    <row r="5" spans="1:40" s="100" customFormat="1" ht="12.75" customHeight="1">
      <c r="A5" s="396"/>
      <c r="B5" s="396"/>
      <c r="C5" s="396"/>
      <c r="D5" s="398"/>
      <c r="E5" s="396"/>
      <c r="F5" s="399"/>
      <c r="G5" s="376"/>
      <c r="H5" s="376"/>
    </row>
    <row r="6" spans="1:40" ht="33.15" customHeight="1">
      <c r="A6" s="119" t="s">
        <v>31</v>
      </c>
      <c r="B6" s="119" t="s">
        <v>32</v>
      </c>
      <c r="C6" s="119" t="s">
        <v>33</v>
      </c>
      <c r="D6" s="119" t="s">
        <v>34</v>
      </c>
      <c r="E6" s="119" t="s">
        <v>35</v>
      </c>
      <c r="F6" s="119" t="s">
        <v>36</v>
      </c>
      <c r="G6" s="119" t="s">
        <v>37</v>
      </c>
      <c r="H6" s="119" t="s">
        <v>475</v>
      </c>
      <c r="I6" s="119" t="s">
        <v>22</v>
      </c>
      <c r="J6" s="521"/>
      <c r="K6" s="120"/>
      <c r="L6" s="522"/>
      <c r="M6" s="522"/>
      <c r="N6" s="522"/>
      <c r="O6" s="522"/>
    </row>
    <row r="7" spans="1:40" ht="15.6">
      <c r="A7" s="119" t="s">
        <v>38</v>
      </c>
      <c r="B7" s="119" t="s">
        <v>39</v>
      </c>
      <c r="C7" s="119" t="s">
        <v>72</v>
      </c>
      <c r="D7" s="119" t="s">
        <v>73</v>
      </c>
      <c r="E7" s="119" t="s">
        <v>74</v>
      </c>
      <c r="F7" s="119" t="s">
        <v>75</v>
      </c>
      <c r="G7" s="119" t="s">
        <v>76</v>
      </c>
      <c r="H7" s="119" t="s">
        <v>77</v>
      </c>
      <c r="I7" s="119">
        <v>9</v>
      </c>
      <c r="J7" s="521"/>
      <c r="K7" s="523"/>
      <c r="L7" s="522"/>
      <c r="O7" s="524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525"/>
      <c r="AJ7" s="100"/>
      <c r="AK7" s="526"/>
      <c r="AL7" s="100"/>
      <c r="AM7" s="100"/>
      <c r="AN7" s="100"/>
    </row>
    <row r="8" spans="1:40" s="100" customFormat="1" ht="21" customHeight="1">
      <c r="A8" s="121"/>
      <c r="B8" s="122"/>
      <c r="C8" s="122" t="s">
        <v>40</v>
      </c>
      <c r="D8" s="122" t="s">
        <v>41</v>
      </c>
      <c r="E8" s="122"/>
      <c r="F8" s="123"/>
      <c r="G8" s="124"/>
      <c r="H8" s="377">
        <f>H9+H22+H35+H60+H73+H94+H155</f>
        <v>9913392.9350000005</v>
      </c>
      <c r="I8" s="118"/>
      <c r="J8" s="527"/>
      <c r="K8" s="528"/>
      <c r="L8" s="528"/>
      <c r="M8" s="528"/>
    </row>
    <row r="9" spans="1:40" s="100" customFormat="1" ht="13.5" customHeight="1">
      <c r="A9" s="125"/>
      <c r="B9" s="126"/>
      <c r="C9" s="126">
        <v>1</v>
      </c>
      <c r="D9" s="126" t="s">
        <v>42</v>
      </c>
      <c r="E9" s="126"/>
      <c r="F9" s="127"/>
      <c r="G9" s="128"/>
      <c r="H9" s="128">
        <f>SUM(H10:H21)</f>
        <v>900000</v>
      </c>
      <c r="I9" s="129"/>
      <c r="J9" s="529"/>
    </row>
    <row r="10" spans="1:40" s="134" customFormat="1" ht="13.5" customHeight="1">
      <c r="A10" s="130" t="s">
        <v>38</v>
      </c>
      <c r="B10" s="131" t="s">
        <v>43</v>
      </c>
      <c r="C10" s="131" t="s">
        <v>105</v>
      </c>
      <c r="D10" s="131" t="s">
        <v>514</v>
      </c>
      <c r="E10" s="131" t="s">
        <v>23</v>
      </c>
      <c r="F10" s="132">
        <f>F11</f>
        <v>1</v>
      </c>
      <c r="G10" s="133">
        <v>900000</v>
      </c>
      <c r="H10" s="133">
        <f>F10*G10</f>
        <v>900000</v>
      </c>
      <c r="I10" s="99" t="s">
        <v>58</v>
      </c>
      <c r="N10" s="530"/>
      <c r="P10" s="531"/>
    </row>
    <row r="11" spans="1:40" s="134" customFormat="1" ht="13.5" customHeight="1">
      <c r="A11" s="135"/>
      <c r="B11" s="136"/>
      <c r="C11" s="136"/>
      <c r="D11" s="101" t="s">
        <v>106</v>
      </c>
      <c r="E11" s="136"/>
      <c r="F11" s="137">
        <v>1</v>
      </c>
      <c r="G11" s="138"/>
      <c r="H11" s="378"/>
      <c r="I11" s="139"/>
      <c r="J11" s="532"/>
      <c r="K11" s="533"/>
      <c r="L11" s="534"/>
      <c r="N11" s="530"/>
      <c r="P11" s="531"/>
    </row>
    <row r="12" spans="1:40" s="145" customFormat="1" ht="13.5" customHeight="1">
      <c r="A12" s="140"/>
      <c r="B12" s="105"/>
      <c r="C12" s="141"/>
      <c r="D12" s="101" t="s">
        <v>80</v>
      </c>
      <c r="E12" s="141"/>
      <c r="F12" s="142"/>
      <c r="G12" s="143"/>
      <c r="H12" s="379"/>
      <c r="I12" s="144"/>
      <c r="J12" s="535"/>
      <c r="K12" s="536"/>
      <c r="L12" s="536"/>
    </row>
    <row r="13" spans="1:40" s="145" customFormat="1" ht="13.5" customHeight="1">
      <c r="A13" s="140"/>
      <c r="B13" s="105"/>
      <c r="C13" s="141"/>
      <c r="D13" s="101" t="s">
        <v>107</v>
      </c>
      <c r="E13" s="141"/>
      <c r="F13" s="142"/>
      <c r="G13" s="143"/>
      <c r="H13" s="379"/>
      <c r="I13" s="144"/>
      <c r="J13" s="535"/>
      <c r="K13" s="536"/>
      <c r="L13" s="536"/>
    </row>
    <row r="14" spans="1:40" s="145" customFormat="1" ht="13.5" customHeight="1">
      <c r="A14" s="140"/>
      <c r="B14" s="105"/>
      <c r="C14" s="141"/>
      <c r="D14" s="101" t="s">
        <v>108</v>
      </c>
      <c r="E14" s="141"/>
      <c r="F14" s="142"/>
      <c r="G14" s="143"/>
      <c r="H14" s="379"/>
      <c r="I14" s="144"/>
      <c r="J14" s="535"/>
      <c r="K14" s="536"/>
      <c r="L14" s="536"/>
    </row>
    <row r="15" spans="1:40" s="145" customFormat="1" ht="13.5" customHeight="1">
      <c r="A15" s="140"/>
      <c r="B15" s="105"/>
      <c r="C15" s="141"/>
      <c r="D15" s="101" t="s">
        <v>109</v>
      </c>
      <c r="E15" s="141"/>
      <c r="F15" s="142"/>
      <c r="G15" s="143"/>
      <c r="H15" s="379"/>
      <c r="I15" s="144"/>
      <c r="J15" s="535"/>
      <c r="K15" s="536"/>
      <c r="L15" s="536"/>
    </row>
    <row r="16" spans="1:40" s="145" customFormat="1" ht="13.5" customHeight="1">
      <c r="A16" s="140"/>
      <c r="B16" s="105"/>
      <c r="C16" s="141"/>
      <c r="D16" s="101" t="s">
        <v>110</v>
      </c>
      <c r="E16" s="141"/>
      <c r="F16" s="142"/>
      <c r="G16" s="143"/>
      <c r="H16" s="379"/>
      <c r="I16" s="144"/>
      <c r="J16" s="535"/>
      <c r="K16" s="536"/>
      <c r="L16" s="536"/>
    </row>
    <row r="17" spans="1:256" s="145" customFormat="1" ht="13.5" customHeight="1">
      <c r="A17" s="140"/>
      <c r="B17" s="105"/>
      <c r="C17" s="141"/>
      <c r="D17" s="101" t="s">
        <v>111</v>
      </c>
      <c r="E17" s="141"/>
      <c r="F17" s="142"/>
      <c r="G17" s="143"/>
      <c r="H17" s="379"/>
      <c r="I17" s="144"/>
      <c r="J17" s="535"/>
      <c r="K17" s="536"/>
      <c r="L17" s="536"/>
    </row>
    <row r="18" spans="1:256" s="145" customFormat="1" ht="13.5" customHeight="1">
      <c r="A18" s="140"/>
      <c r="B18" s="105"/>
      <c r="C18" s="141"/>
      <c r="D18" s="101" t="s">
        <v>112</v>
      </c>
      <c r="E18" s="141"/>
      <c r="F18" s="142"/>
      <c r="G18" s="143"/>
      <c r="H18" s="379"/>
      <c r="I18" s="144"/>
      <c r="J18" s="535"/>
      <c r="K18" s="536"/>
      <c r="L18" s="536"/>
    </row>
    <row r="19" spans="1:256" s="145" customFormat="1" ht="27" customHeight="1">
      <c r="A19" s="140"/>
      <c r="B19" s="105"/>
      <c r="C19" s="141"/>
      <c r="D19" s="101" t="s">
        <v>113</v>
      </c>
      <c r="E19" s="141"/>
      <c r="F19" s="142"/>
      <c r="G19" s="143"/>
      <c r="H19" s="379"/>
      <c r="I19" s="144"/>
      <c r="J19" s="535"/>
      <c r="K19" s="536"/>
      <c r="L19" s="536"/>
    </row>
    <row r="20" spans="1:256" s="145" customFormat="1" ht="13.5" customHeight="1">
      <c r="A20" s="140"/>
      <c r="B20" s="105"/>
      <c r="C20" s="141"/>
      <c r="D20" s="101" t="s">
        <v>82</v>
      </c>
      <c r="E20" s="141"/>
      <c r="F20" s="142"/>
      <c r="G20" s="143"/>
      <c r="H20" s="379"/>
      <c r="I20" s="144"/>
      <c r="J20" s="535"/>
      <c r="K20" s="536"/>
      <c r="L20" s="536"/>
    </row>
    <row r="21" spans="1:256" s="74" customFormat="1" ht="81" customHeight="1">
      <c r="A21" s="81"/>
      <c r="B21" s="82"/>
      <c r="C21" s="83"/>
      <c r="D21" s="84" t="s">
        <v>50</v>
      </c>
      <c r="E21" s="79"/>
      <c r="F21" s="85"/>
      <c r="G21" s="86"/>
      <c r="H21" s="86"/>
      <c r="I21" s="87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  <c r="DR21" s="75"/>
      <c r="DS21" s="75"/>
      <c r="DT21" s="75"/>
      <c r="DU21" s="75"/>
      <c r="DV21" s="75"/>
      <c r="DW21" s="75"/>
      <c r="DX21" s="75"/>
      <c r="DY21" s="75"/>
      <c r="DZ21" s="75"/>
      <c r="EA21" s="75"/>
      <c r="EB21" s="75"/>
      <c r="EC21" s="75"/>
      <c r="ED21" s="75"/>
      <c r="EE21" s="75"/>
      <c r="EF21" s="75"/>
      <c r="EG21" s="75"/>
      <c r="EH21" s="75"/>
      <c r="EI21" s="75"/>
      <c r="EJ21" s="75"/>
      <c r="EK21" s="75"/>
      <c r="EL21" s="75"/>
      <c r="EM21" s="75"/>
      <c r="EN21" s="75"/>
      <c r="EO21" s="75"/>
      <c r="EP21" s="75"/>
      <c r="EQ21" s="75"/>
      <c r="ER21" s="75"/>
      <c r="ES21" s="75"/>
      <c r="ET21" s="75"/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5"/>
      <c r="FF21" s="75"/>
      <c r="FG21" s="75"/>
      <c r="FH21" s="75"/>
      <c r="FI21" s="75"/>
      <c r="FJ21" s="75"/>
      <c r="FK21" s="75"/>
      <c r="FL21" s="75"/>
      <c r="FM21" s="75"/>
      <c r="FN21" s="75"/>
      <c r="FO21" s="75"/>
      <c r="FP21" s="75"/>
      <c r="FQ21" s="75"/>
      <c r="FR21" s="75"/>
      <c r="FS21" s="75"/>
      <c r="FT21" s="75"/>
      <c r="FU21" s="75"/>
      <c r="FV21" s="75"/>
      <c r="FW21" s="75"/>
      <c r="FX21" s="75"/>
      <c r="FY21" s="75"/>
      <c r="FZ21" s="75"/>
      <c r="GA21" s="75"/>
      <c r="GB21" s="75"/>
      <c r="GC21" s="75"/>
      <c r="GD21" s="75"/>
      <c r="GE21" s="75"/>
      <c r="GF21" s="75"/>
      <c r="GG21" s="75"/>
      <c r="GH21" s="75"/>
      <c r="GI21" s="75"/>
      <c r="GJ21" s="75"/>
      <c r="GK21" s="75"/>
      <c r="GL21" s="75"/>
      <c r="GM21" s="75"/>
      <c r="GN21" s="75"/>
      <c r="GO21" s="75"/>
      <c r="GP21" s="75"/>
      <c r="GQ21" s="75"/>
      <c r="GR21" s="75"/>
      <c r="GS21" s="75"/>
      <c r="GT21" s="75"/>
      <c r="GU21" s="75"/>
      <c r="GV21" s="75"/>
      <c r="GW21" s="75"/>
      <c r="GX21" s="75"/>
      <c r="GY21" s="75"/>
      <c r="GZ21" s="75"/>
      <c r="HA21" s="75"/>
      <c r="HB21" s="75"/>
      <c r="HC21" s="75"/>
      <c r="HD21" s="75"/>
      <c r="HE21" s="75"/>
      <c r="HF21" s="75"/>
      <c r="HG21" s="75"/>
      <c r="HH21" s="75"/>
      <c r="HI21" s="75"/>
      <c r="HJ21" s="75"/>
      <c r="HK21" s="75"/>
      <c r="HL21" s="75"/>
      <c r="HM21" s="75"/>
      <c r="HN21" s="75"/>
      <c r="HO21" s="75"/>
      <c r="HP21" s="75"/>
      <c r="HQ21" s="75"/>
      <c r="HR21" s="75"/>
      <c r="HS21" s="75"/>
      <c r="HT21" s="75"/>
      <c r="HU21" s="75"/>
      <c r="HV21" s="75"/>
      <c r="HW21" s="75"/>
      <c r="HX21" s="75"/>
      <c r="HY21" s="75"/>
      <c r="HZ21" s="75"/>
      <c r="IA21" s="75"/>
      <c r="IB21" s="75"/>
      <c r="IC21" s="75"/>
      <c r="ID21" s="75"/>
      <c r="IE21" s="75"/>
      <c r="IF21" s="75"/>
      <c r="IG21" s="75"/>
      <c r="IH21" s="75"/>
      <c r="II21" s="75"/>
      <c r="IJ21" s="75"/>
      <c r="IK21" s="75"/>
      <c r="IL21" s="75"/>
      <c r="IM21" s="75"/>
      <c r="IN21" s="75"/>
      <c r="IO21" s="75"/>
      <c r="IP21" s="75"/>
      <c r="IQ21" s="75"/>
      <c r="IR21" s="75"/>
      <c r="IS21" s="75"/>
      <c r="IT21" s="75"/>
      <c r="IU21" s="75"/>
      <c r="IV21" s="75"/>
    </row>
    <row r="22" spans="1:256" s="100" customFormat="1" ht="13.5" customHeight="1">
      <c r="A22" s="146"/>
      <c r="B22" s="147"/>
      <c r="C22" s="147">
        <v>2</v>
      </c>
      <c r="D22" s="147" t="s">
        <v>84</v>
      </c>
      <c r="E22" s="147"/>
      <c r="F22" s="148"/>
      <c r="G22" s="149"/>
      <c r="H22" s="149">
        <f>SUM(H23:H34)</f>
        <v>500000</v>
      </c>
      <c r="I22" s="150"/>
      <c r="J22" s="537"/>
      <c r="K22" s="538"/>
      <c r="L22" s="538"/>
      <c r="M22" s="537"/>
      <c r="N22" s="539"/>
    </row>
    <row r="23" spans="1:256" s="111" customFormat="1" ht="13.5" customHeight="1">
      <c r="A23" s="96">
        <v>2</v>
      </c>
      <c r="B23" s="105" t="s">
        <v>114</v>
      </c>
      <c r="C23" s="97" t="s">
        <v>115</v>
      </c>
      <c r="D23" s="97" t="s">
        <v>515</v>
      </c>
      <c r="E23" s="97" t="s">
        <v>23</v>
      </c>
      <c r="F23" s="98">
        <f>SUM(F24)</f>
        <v>1</v>
      </c>
      <c r="G23" s="71">
        <v>500000</v>
      </c>
      <c r="H23" s="133">
        <f>F23*G23</f>
        <v>500000</v>
      </c>
      <c r="I23" s="99" t="s">
        <v>58</v>
      </c>
      <c r="J23" s="532"/>
      <c r="K23" s="533"/>
      <c r="L23" s="534"/>
      <c r="M23" s="537"/>
      <c r="N23" s="539"/>
    </row>
    <row r="24" spans="1:256" s="157" customFormat="1" ht="13.5" customHeight="1">
      <c r="A24" s="151"/>
      <c r="B24" s="152"/>
      <c r="C24" s="153"/>
      <c r="D24" s="153" t="s">
        <v>116</v>
      </c>
      <c r="E24" s="153"/>
      <c r="F24" s="154">
        <v>1</v>
      </c>
      <c r="G24" s="155"/>
      <c r="H24" s="380"/>
      <c r="I24" s="156"/>
      <c r="J24" s="537"/>
      <c r="K24" s="537"/>
      <c r="L24" s="538"/>
      <c r="M24" s="537"/>
      <c r="N24" s="100"/>
    </row>
    <row r="25" spans="1:256" s="100" customFormat="1" ht="13.5" customHeight="1">
      <c r="A25" s="146"/>
      <c r="B25" s="147"/>
      <c r="C25" s="147"/>
      <c r="D25" s="153" t="s">
        <v>117</v>
      </c>
      <c r="E25" s="147"/>
      <c r="F25" s="113"/>
      <c r="G25" s="149"/>
      <c r="H25" s="149"/>
      <c r="I25" s="109"/>
      <c r="J25" s="540"/>
      <c r="K25" s="538"/>
      <c r="L25" s="538"/>
      <c r="M25" s="537"/>
    </row>
    <row r="26" spans="1:256" s="100" customFormat="1" ht="13.5" customHeight="1">
      <c r="A26" s="146"/>
      <c r="B26" s="147"/>
      <c r="C26" s="147"/>
      <c r="D26" s="153" t="s">
        <v>118</v>
      </c>
      <c r="E26" s="147"/>
      <c r="F26" s="113"/>
      <c r="G26" s="149"/>
      <c r="H26" s="149"/>
      <c r="I26" s="109"/>
      <c r="J26" s="540"/>
      <c r="K26" s="538"/>
      <c r="L26" s="538"/>
      <c r="M26" s="537"/>
    </row>
    <row r="27" spans="1:256" s="100" customFormat="1" ht="13.5" customHeight="1">
      <c r="A27" s="146"/>
      <c r="B27" s="147"/>
      <c r="C27" s="147"/>
      <c r="D27" s="153" t="s">
        <v>119</v>
      </c>
      <c r="E27" s="147"/>
      <c r="F27" s="148"/>
      <c r="G27" s="149"/>
      <c r="H27" s="149"/>
      <c r="I27" s="150"/>
      <c r="J27" s="537"/>
      <c r="K27" s="538"/>
      <c r="L27" s="538"/>
      <c r="M27" s="537"/>
    </row>
    <row r="28" spans="1:256" s="100" customFormat="1" ht="13.5" customHeight="1">
      <c r="A28" s="146"/>
      <c r="B28" s="147"/>
      <c r="C28" s="147"/>
      <c r="D28" s="153" t="s">
        <v>120</v>
      </c>
      <c r="E28" s="147"/>
      <c r="F28" s="148"/>
      <c r="G28" s="149"/>
      <c r="H28" s="149"/>
      <c r="I28" s="150"/>
      <c r="J28" s="537"/>
      <c r="K28" s="538"/>
      <c r="L28" s="538"/>
      <c r="M28" s="537"/>
    </row>
    <row r="29" spans="1:256" s="100" customFormat="1" ht="13.5" customHeight="1">
      <c r="A29" s="146"/>
      <c r="B29" s="147"/>
      <c r="C29" s="147"/>
      <c r="D29" s="153" t="s">
        <v>121</v>
      </c>
      <c r="E29" s="147"/>
      <c r="F29" s="148"/>
      <c r="G29" s="149"/>
      <c r="H29" s="149"/>
      <c r="I29" s="150"/>
      <c r="J29" s="537"/>
      <c r="K29" s="538"/>
      <c r="L29" s="538"/>
      <c r="M29" s="537"/>
    </row>
    <row r="30" spans="1:256" s="100" customFormat="1" ht="13.5" customHeight="1">
      <c r="A30" s="146"/>
      <c r="B30" s="147"/>
      <c r="C30" s="147"/>
      <c r="D30" s="153" t="s">
        <v>122</v>
      </c>
      <c r="E30" s="147"/>
      <c r="F30" s="148"/>
      <c r="G30" s="149"/>
      <c r="H30" s="149"/>
      <c r="I30" s="150"/>
      <c r="J30" s="537"/>
      <c r="K30" s="538"/>
      <c r="L30" s="538"/>
      <c r="M30" s="537"/>
      <c r="N30" s="539"/>
    </row>
    <row r="31" spans="1:256" s="100" customFormat="1" ht="13.5" customHeight="1">
      <c r="A31" s="146"/>
      <c r="B31" s="147"/>
      <c r="C31" s="147"/>
      <c r="D31" s="153" t="s">
        <v>123</v>
      </c>
      <c r="E31" s="147"/>
      <c r="F31" s="148"/>
      <c r="G31" s="149"/>
      <c r="H31" s="149"/>
      <c r="I31" s="150"/>
      <c r="J31" s="537"/>
      <c r="K31" s="538"/>
      <c r="L31" s="538"/>
      <c r="M31" s="537"/>
      <c r="N31" s="157"/>
    </row>
    <row r="32" spans="1:256" s="100" customFormat="1" ht="13.5" customHeight="1">
      <c r="A32" s="146"/>
      <c r="B32" s="147"/>
      <c r="C32" s="147"/>
      <c r="D32" s="153" t="s">
        <v>124</v>
      </c>
      <c r="E32" s="147"/>
      <c r="F32" s="148"/>
      <c r="G32" s="149"/>
      <c r="H32" s="149"/>
      <c r="I32" s="150"/>
      <c r="J32" s="537"/>
      <c r="K32" s="538"/>
      <c r="L32" s="538"/>
      <c r="M32" s="537"/>
    </row>
    <row r="33" spans="1:14" s="100" customFormat="1" ht="13.5" customHeight="1">
      <c r="A33" s="146"/>
      <c r="B33" s="147"/>
      <c r="C33" s="147"/>
      <c r="D33" s="158" t="s">
        <v>125</v>
      </c>
      <c r="E33" s="147"/>
      <c r="F33" s="148"/>
      <c r="G33" s="149"/>
      <c r="H33" s="149"/>
      <c r="I33" s="150"/>
      <c r="J33" s="537"/>
      <c r="K33" s="538"/>
      <c r="L33" s="538"/>
      <c r="M33" s="537"/>
    </row>
    <row r="34" spans="1:14" s="100" customFormat="1" ht="13.5" customHeight="1">
      <c r="A34" s="146"/>
      <c r="B34" s="147"/>
      <c r="C34" s="147"/>
      <c r="D34" s="153" t="s">
        <v>126</v>
      </c>
      <c r="E34" s="147"/>
      <c r="F34" s="148"/>
      <c r="G34" s="149"/>
      <c r="H34" s="149"/>
      <c r="I34" s="150"/>
      <c r="J34" s="537"/>
      <c r="K34" s="538"/>
      <c r="L34" s="538"/>
      <c r="M34" s="537"/>
    </row>
    <row r="35" spans="1:14" s="100" customFormat="1" ht="13.5" customHeight="1">
      <c r="A35" s="146"/>
      <c r="B35" s="147"/>
      <c r="C35" s="147">
        <v>3</v>
      </c>
      <c r="D35" s="147" t="s">
        <v>85</v>
      </c>
      <c r="E35" s="147"/>
      <c r="F35" s="148"/>
      <c r="G35" s="149"/>
      <c r="H35" s="149">
        <f>SUM(H36:H59)</f>
        <v>294682.38</v>
      </c>
      <c r="I35" s="109"/>
      <c r="J35" s="541"/>
      <c r="K35" s="94"/>
      <c r="L35" s="542"/>
      <c r="M35" s="94"/>
      <c r="N35" s="543"/>
    </row>
    <row r="36" spans="1:14" s="100" customFormat="1" ht="13.5" customHeight="1">
      <c r="A36" s="96">
        <v>3</v>
      </c>
      <c r="B36" s="105" t="s">
        <v>114</v>
      </c>
      <c r="C36" s="97" t="s">
        <v>660</v>
      </c>
      <c r="D36" s="97" t="s">
        <v>483</v>
      </c>
      <c r="E36" s="97" t="s">
        <v>48</v>
      </c>
      <c r="F36" s="98">
        <f>SUM(F37:F37)</f>
        <v>1.54</v>
      </c>
      <c r="G36" s="106">
        <v>751</v>
      </c>
      <c r="H36" s="138">
        <f>F36*G36</f>
        <v>1156.54</v>
      </c>
      <c r="I36" s="99" t="s">
        <v>58</v>
      </c>
      <c r="K36" s="544"/>
      <c r="L36" s="545"/>
      <c r="M36" s="111"/>
      <c r="N36" s="544"/>
    </row>
    <row r="37" spans="1:14" s="145" customFormat="1" ht="13.5" customHeight="1">
      <c r="A37" s="140"/>
      <c r="B37" s="141"/>
      <c r="C37" s="141"/>
      <c r="D37" s="101" t="s">
        <v>517</v>
      </c>
      <c r="E37" s="141"/>
      <c r="F37" s="113">
        <v>1.54</v>
      </c>
      <c r="G37" s="143"/>
      <c r="H37" s="143"/>
      <c r="I37" s="159"/>
      <c r="J37" s="100"/>
      <c r="K37" s="544"/>
      <c r="L37" s="545"/>
      <c r="M37" s="111"/>
      <c r="N37" s="544"/>
    </row>
    <row r="38" spans="1:14" s="100" customFormat="1" ht="13.5" customHeight="1">
      <c r="A38" s="96"/>
      <c r="B38" s="105"/>
      <c r="C38" s="97"/>
      <c r="D38" s="80" t="s">
        <v>80</v>
      </c>
      <c r="E38" s="97"/>
      <c r="F38" s="109"/>
      <c r="G38" s="106"/>
      <c r="H38" s="106"/>
      <c r="I38" s="159"/>
      <c r="K38" s="544"/>
      <c r="L38" s="545"/>
      <c r="M38" s="111"/>
      <c r="N38" s="544"/>
    </row>
    <row r="39" spans="1:14" s="100" customFormat="1" ht="13.5" customHeight="1">
      <c r="A39" s="102"/>
      <c r="B39" s="103"/>
      <c r="C39" s="103"/>
      <c r="D39" s="158" t="s">
        <v>484</v>
      </c>
      <c r="E39" s="103"/>
      <c r="F39" s="162"/>
      <c r="G39" s="110"/>
      <c r="H39" s="106"/>
      <c r="I39" s="109"/>
      <c r="K39" s="544"/>
      <c r="L39" s="545"/>
      <c r="M39" s="111"/>
      <c r="N39" s="544"/>
    </row>
    <row r="40" spans="1:14" s="100" customFormat="1" ht="13.5" customHeight="1">
      <c r="A40" s="102"/>
      <c r="B40" s="103"/>
      <c r="C40" s="103"/>
      <c r="D40" s="158" t="s">
        <v>485</v>
      </c>
      <c r="E40" s="103"/>
      <c r="F40" s="162"/>
      <c r="G40" s="110"/>
      <c r="H40" s="106"/>
      <c r="I40" s="109"/>
      <c r="K40" s="544"/>
      <c r="L40" s="545"/>
      <c r="M40" s="111"/>
      <c r="N40" s="544"/>
    </row>
    <row r="41" spans="1:14" s="116" customFormat="1" ht="13.5" customHeight="1">
      <c r="A41" s="115"/>
      <c r="B41" s="105"/>
      <c r="C41" s="97"/>
      <c r="D41" s="158" t="s">
        <v>133</v>
      </c>
      <c r="E41" s="97"/>
      <c r="F41" s="162"/>
      <c r="G41" s="106"/>
      <c r="H41" s="106"/>
      <c r="I41" s="163"/>
      <c r="J41" s="100"/>
      <c r="K41" s="544"/>
      <c r="L41" s="545"/>
      <c r="M41" s="111"/>
      <c r="N41" s="544"/>
    </row>
    <row r="42" spans="1:14" s="100" customFormat="1" ht="13.5" customHeight="1">
      <c r="A42" s="96">
        <v>4</v>
      </c>
      <c r="B42" s="105" t="s">
        <v>114</v>
      </c>
      <c r="C42" s="97" t="s">
        <v>663</v>
      </c>
      <c r="D42" s="97" t="s">
        <v>581</v>
      </c>
      <c r="E42" s="97" t="s">
        <v>48</v>
      </c>
      <c r="F42" s="98">
        <f>SUM(F43:F43)</f>
        <v>99.324000000000012</v>
      </c>
      <c r="G42" s="106">
        <v>1350</v>
      </c>
      <c r="H42" s="138">
        <f>F42*G42</f>
        <v>134087.40000000002</v>
      </c>
      <c r="I42" s="99" t="s">
        <v>58</v>
      </c>
      <c r="K42" s="544"/>
      <c r="L42" s="545"/>
      <c r="M42" s="111"/>
      <c r="N42" s="544"/>
    </row>
    <row r="43" spans="1:14" s="145" customFormat="1" ht="13.5" customHeight="1">
      <c r="A43" s="140"/>
      <c r="B43" s="141"/>
      <c r="C43" s="141"/>
      <c r="D43" s="101" t="s">
        <v>517</v>
      </c>
      <c r="E43" s="141"/>
      <c r="F43" s="113">
        <f>78.114+21.21</f>
        <v>99.324000000000012</v>
      </c>
      <c r="G43" s="143"/>
      <c r="H43" s="143"/>
      <c r="I43" s="159"/>
      <c r="J43" s="100"/>
      <c r="K43" s="544"/>
      <c r="L43" s="545"/>
      <c r="M43" s="111"/>
      <c r="N43" s="544"/>
    </row>
    <row r="44" spans="1:14" s="100" customFormat="1" ht="13.5" customHeight="1">
      <c r="A44" s="96"/>
      <c r="B44" s="105"/>
      <c r="C44" s="97"/>
      <c r="D44" s="80" t="s">
        <v>80</v>
      </c>
      <c r="E44" s="97"/>
      <c r="F44" s="109"/>
      <c r="G44" s="106"/>
      <c r="H44" s="106"/>
      <c r="I44" s="159"/>
      <c r="K44" s="544"/>
      <c r="L44" s="545"/>
      <c r="M44" s="111"/>
      <c r="N44" s="544"/>
    </row>
    <row r="45" spans="1:14" s="100" customFormat="1" ht="13.5" customHeight="1">
      <c r="A45" s="102"/>
      <c r="B45" s="103"/>
      <c r="C45" s="103"/>
      <c r="D45" s="158" t="s">
        <v>484</v>
      </c>
      <c r="E45" s="103"/>
      <c r="F45" s="162"/>
      <c r="G45" s="110"/>
      <c r="H45" s="106"/>
      <c r="I45" s="109"/>
      <c r="K45" s="544"/>
      <c r="L45" s="545"/>
      <c r="M45" s="111"/>
      <c r="N45" s="544"/>
    </row>
    <row r="46" spans="1:14" s="100" customFormat="1" ht="13.5" customHeight="1">
      <c r="A46" s="102"/>
      <c r="B46" s="103"/>
      <c r="C46" s="103"/>
      <c r="D46" s="158" t="s">
        <v>485</v>
      </c>
      <c r="E46" s="103"/>
      <c r="F46" s="162"/>
      <c r="G46" s="110"/>
      <c r="H46" s="106"/>
      <c r="I46" s="109"/>
      <c r="K46" s="544"/>
      <c r="L46" s="545"/>
      <c r="M46" s="111"/>
      <c r="N46" s="544"/>
    </row>
    <row r="47" spans="1:14" s="116" customFormat="1" ht="13.5" customHeight="1">
      <c r="A47" s="115"/>
      <c r="B47" s="105"/>
      <c r="C47" s="97"/>
      <c r="D47" s="158" t="s">
        <v>133</v>
      </c>
      <c r="E47" s="97"/>
      <c r="F47" s="162"/>
      <c r="G47" s="106"/>
      <c r="H47" s="106"/>
      <c r="I47" s="163"/>
      <c r="J47" s="100"/>
      <c r="K47" s="544"/>
      <c r="L47" s="545"/>
      <c r="M47" s="111"/>
      <c r="N47" s="544"/>
    </row>
    <row r="48" spans="1:14" s="100" customFormat="1" ht="13.5" customHeight="1">
      <c r="A48" s="96">
        <v>5</v>
      </c>
      <c r="B48" s="105" t="s">
        <v>114</v>
      </c>
      <c r="C48" s="97" t="s">
        <v>662</v>
      </c>
      <c r="D48" s="97" t="s">
        <v>516</v>
      </c>
      <c r="E48" s="97" t="s">
        <v>48</v>
      </c>
      <c r="F48" s="98">
        <f>SUM(F49:F49)</f>
        <v>16.068000000000001</v>
      </c>
      <c r="G48" s="106">
        <v>1730</v>
      </c>
      <c r="H48" s="138">
        <f>F48*G48</f>
        <v>27797.640000000003</v>
      </c>
      <c r="I48" s="99" t="s">
        <v>58</v>
      </c>
      <c r="K48" s="544"/>
      <c r="L48" s="545"/>
      <c r="M48" s="111"/>
      <c r="N48" s="544"/>
    </row>
    <row r="49" spans="1:19" s="145" customFormat="1" ht="13.5" customHeight="1">
      <c r="A49" s="140"/>
      <c r="B49" s="141"/>
      <c r="C49" s="141"/>
      <c r="D49" s="101" t="s">
        <v>517</v>
      </c>
      <c r="E49" s="141"/>
      <c r="F49" s="113">
        <v>16.068000000000001</v>
      </c>
      <c r="G49" s="143"/>
      <c r="H49" s="143"/>
      <c r="I49" s="159"/>
      <c r="J49" s="100"/>
      <c r="K49" s="544"/>
      <c r="L49" s="545"/>
      <c r="M49" s="111"/>
      <c r="N49" s="544"/>
    </row>
    <row r="50" spans="1:19" s="100" customFormat="1" ht="13.5" customHeight="1">
      <c r="A50" s="96"/>
      <c r="B50" s="105"/>
      <c r="C50" s="97"/>
      <c r="D50" s="80" t="s">
        <v>80</v>
      </c>
      <c r="E50" s="97"/>
      <c r="F50" s="109"/>
      <c r="G50" s="106"/>
      <c r="H50" s="106"/>
      <c r="I50" s="159"/>
      <c r="K50" s="544"/>
      <c r="L50" s="545"/>
      <c r="M50" s="111"/>
      <c r="N50" s="544"/>
    </row>
    <row r="51" spans="1:19" s="100" customFormat="1" ht="13.5" customHeight="1">
      <c r="A51" s="102"/>
      <c r="B51" s="103"/>
      <c r="C51" s="103"/>
      <c r="D51" s="158" t="s">
        <v>484</v>
      </c>
      <c r="E51" s="103"/>
      <c r="F51" s="162"/>
      <c r="G51" s="110"/>
      <c r="H51" s="106"/>
      <c r="I51" s="109"/>
      <c r="K51" s="544"/>
      <c r="L51" s="545"/>
      <c r="M51" s="111"/>
      <c r="N51" s="544"/>
    </row>
    <row r="52" spans="1:19" s="100" customFormat="1" ht="13.5" customHeight="1">
      <c r="A52" s="102"/>
      <c r="B52" s="103"/>
      <c r="C52" s="103"/>
      <c r="D52" s="158" t="s">
        <v>485</v>
      </c>
      <c r="E52" s="103"/>
      <c r="F52" s="162"/>
      <c r="G52" s="110"/>
      <c r="H52" s="106"/>
      <c r="I52" s="109"/>
      <c r="K52" s="544"/>
      <c r="L52" s="545"/>
      <c r="M52" s="111"/>
      <c r="N52" s="544"/>
    </row>
    <row r="53" spans="1:19" s="116" customFormat="1" ht="13.5" customHeight="1">
      <c r="A53" s="115"/>
      <c r="B53" s="105"/>
      <c r="C53" s="97"/>
      <c r="D53" s="158" t="s">
        <v>133</v>
      </c>
      <c r="E53" s="97"/>
      <c r="F53" s="162"/>
      <c r="G53" s="106"/>
      <c r="H53" s="106"/>
      <c r="I53" s="163"/>
      <c r="J53" s="100"/>
      <c r="K53" s="544"/>
      <c r="L53" s="545"/>
      <c r="M53" s="111"/>
      <c r="N53" s="544"/>
    </row>
    <row r="54" spans="1:19" s="100" customFormat="1" ht="13.5" customHeight="1">
      <c r="A54" s="96">
        <v>6</v>
      </c>
      <c r="B54" s="105" t="s">
        <v>114</v>
      </c>
      <c r="C54" s="97" t="s">
        <v>654</v>
      </c>
      <c r="D54" s="97" t="s">
        <v>582</v>
      </c>
      <c r="E54" s="97" t="s">
        <v>48</v>
      </c>
      <c r="F54" s="98">
        <f>SUM(F55:F55)</f>
        <v>55.78</v>
      </c>
      <c r="G54" s="106">
        <v>2360</v>
      </c>
      <c r="H54" s="138">
        <f>F54*G54</f>
        <v>131640.79999999999</v>
      </c>
      <c r="I54" s="99" t="s">
        <v>58</v>
      </c>
      <c r="K54" s="544"/>
      <c r="L54" s="545"/>
      <c r="M54" s="111"/>
      <c r="N54" s="544"/>
    </row>
    <row r="55" spans="1:19" s="145" customFormat="1" ht="13.5" customHeight="1">
      <c r="A55" s="140"/>
      <c r="B55" s="141"/>
      <c r="C55" s="141"/>
      <c r="D55" s="101" t="s">
        <v>583</v>
      </c>
      <c r="E55" s="141"/>
      <c r="F55" s="113">
        <f>23.86+31.92</f>
        <v>55.78</v>
      </c>
      <c r="G55" s="143"/>
      <c r="H55" s="143"/>
      <c r="I55" s="159"/>
      <c r="J55" s="100"/>
      <c r="K55" s="544"/>
      <c r="L55" s="545"/>
      <c r="M55" s="111"/>
      <c r="N55" s="544"/>
    </row>
    <row r="56" spans="1:19" s="100" customFormat="1" ht="13.5" customHeight="1">
      <c r="A56" s="96"/>
      <c r="B56" s="105"/>
      <c r="C56" s="97"/>
      <c r="D56" s="80" t="s">
        <v>80</v>
      </c>
      <c r="E56" s="97"/>
      <c r="F56" s="109"/>
      <c r="G56" s="106"/>
      <c r="H56" s="106"/>
      <c r="I56" s="159"/>
      <c r="K56" s="544"/>
      <c r="L56" s="545"/>
      <c r="M56" s="111"/>
      <c r="N56" s="544"/>
    </row>
    <row r="57" spans="1:19" s="100" customFormat="1" ht="13.5" customHeight="1">
      <c r="A57" s="102"/>
      <c r="B57" s="103"/>
      <c r="C57" s="103"/>
      <c r="D57" s="158" t="s">
        <v>661</v>
      </c>
      <c r="E57" s="103"/>
      <c r="F57" s="162"/>
      <c r="G57" s="110"/>
      <c r="H57" s="106"/>
      <c r="I57" s="109"/>
      <c r="K57" s="544"/>
      <c r="L57" s="545"/>
      <c r="M57" s="111"/>
      <c r="N57" s="544"/>
    </row>
    <row r="58" spans="1:19" s="100" customFormat="1" ht="13.5" customHeight="1">
      <c r="A58" s="102"/>
      <c r="B58" s="103"/>
      <c r="C58" s="103"/>
      <c r="D58" s="158" t="s">
        <v>485</v>
      </c>
      <c r="E58" s="103"/>
      <c r="F58" s="162"/>
      <c r="G58" s="110"/>
      <c r="H58" s="106"/>
      <c r="I58" s="109"/>
      <c r="K58" s="544"/>
      <c r="L58" s="545"/>
      <c r="M58" s="111"/>
      <c r="N58" s="544"/>
    </row>
    <row r="59" spans="1:19" s="116" customFormat="1" ht="13.5" customHeight="1">
      <c r="A59" s="115"/>
      <c r="B59" s="105"/>
      <c r="C59" s="97"/>
      <c r="D59" s="158" t="s">
        <v>133</v>
      </c>
      <c r="E59" s="97"/>
      <c r="F59" s="162"/>
      <c r="G59" s="106"/>
      <c r="H59" s="106"/>
      <c r="I59" s="163"/>
      <c r="J59" s="100"/>
      <c r="K59" s="544"/>
      <c r="L59" s="545"/>
      <c r="M59" s="111"/>
      <c r="N59" s="544"/>
    </row>
    <row r="60" spans="1:19" s="100" customFormat="1" ht="13.5" customHeight="1">
      <c r="A60" s="146"/>
      <c r="B60" s="147"/>
      <c r="C60" s="147">
        <v>4</v>
      </c>
      <c r="D60" s="147" t="s">
        <v>51</v>
      </c>
      <c r="E60" s="147"/>
      <c r="F60" s="148"/>
      <c r="G60" s="149"/>
      <c r="H60" s="149">
        <f>SUM(H61:H72)</f>
        <v>1380000</v>
      </c>
      <c r="I60" s="109"/>
      <c r="J60" s="541"/>
      <c r="K60" s="544"/>
      <c r="L60" s="545"/>
      <c r="M60" s="111"/>
      <c r="N60" s="544"/>
    </row>
    <row r="61" spans="1:19" s="100" customFormat="1" ht="13.5" customHeight="1">
      <c r="A61" s="165">
        <v>7</v>
      </c>
      <c r="B61" s="105" t="s">
        <v>114</v>
      </c>
      <c r="C61" s="97" t="s">
        <v>649</v>
      </c>
      <c r="D61" s="97" t="s">
        <v>584</v>
      </c>
      <c r="E61" s="97" t="s">
        <v>23</v>
      </c>
      <c r="F61" s="400">
        <f>SUM(F62)</f>
        <v>1</v>
      </c>
      <c r="G61" s="106">
        <v>1200000</v>
      </c>
      <c r="H61" s="133">
        <f>F61*G61</f>
        <v>1200000</v>
      </c>
      <c r="I61" s="99" t="s">
        <v>49</v>
      </c>
      <c r="J61" s="546"/>
      <c r="L61" s="547"/>
      <c r="M61" s="548"/>
      <c r="N61" s="549"/>
    </row>
    <row r="62" spans="1:19" s="100" customFormat="1" ht="13.5" customHeight="1">
      <c r="A62" s="146"/>
      <c r="B62" s="147"/>
      <c r="C62" s="401"/>
      <c r="D62" s="153" t="s">
        <v>585</v>
      </c>
      <c r="E62" s="147"/>
      <c r="F62" s="113">
        <v>1</v>
      </c>
      <c r="G62" s="106"/>
      <c r="H62" s="149"/>
      <c r="I62" s="402"/>
      <c r="J62" s="546"/>
      <c r="K62" s="550"/>
      <c r="L62" s="547"/>
      <c r="M62" s="548"/>
      <c r="N62" s="548"/>
      <c r="O62" s="551"/>
      <c r="P62" s="548"/>
      <c r="Q62" s="552"/>
      <c r="R62" s="553"/>
      <c r="S62" s="554"/>
    </row>
    <row r="63" spans="1:19" s="100" customFormat="1" ht="13.5" customHeight="1">
      <c r="A63" s="146"/>
      <c r="B63" s="147"/>
      <c r="C63" s="401"/>
      <c r="D63" s="80" t="s">
        <v>80</v>
      </c>
      <c r="E63" s="147"/>
      <c r="F63" s="148"/>
      <c r="G63" s="106"/>
      <c r="H63" s="149"/>
      <c r="I63" s="402"/>
      <c r="J63" s="555"/>
      <c r="K63" s="556"/>
      <c r="L63" s="547"/>
      <c r="M63" s="548"/>
      <c r="N63" s="549"/>
      <c r="P63" s="548"/>
      <c r="Q63" s="552"/>
      <c r="R63" s="553"/>
      <c r="S63" s="554"/>
    </row>
    <row r="64" spans="1:19" s="100" customFormat="1" ht="13.5" customHeight="1">
      <c r="A64" s="146"/>
      <c r="B64" s="147"/>
      <c r="C64" s="401"/>
      <c r="D64" s="158" t="s">
        <v>586</v>
      </c>
      <c r="E64" s="147"/>
      <c r="F64" s="148"/>
      <c r="G64" s="106"/>
      <c r="H64" s="149"/>
      <c r="I64" s="150"/>
      <c r="J64" s="555"/>
      <c r="K64" s="556"/>
      <c r="L64" s="547"/>
      <c r="M64" s="548"/>
      <c r="N64" s="549"/>
      <c r="O64" s="551"/>
      <c r="P64" s="548"/>
      <c r="Q64" s="552"/>
      <c r="R64" s="553"/>
      <c r="S64" s="554"/>
    </row>
    <row r="65" spans="1:19" s="100" customFormat="1" ht="13.5" customHeight="1">
      <c r="A65" s="146"/>
      <c r="B65" s="147"/>
      <c r="C65" s="401"/>
      <c r="D65" s="158" t="s">
        <v>133</v>
      </c>
      <c r="E65" s="147"/>
      <c r="F65" s="148"/>
      <c r="G65" s="106"/>
      <c r="H65" s="149"/>
      <c r="I65" s="150"/>
      <c r="J65" s="555"/>
      <c r="K65" s="556"/>
      <c r="L65" s="547"/>
      <c r="M65" s="548"/>
      <c r="N65" s="548"/>
      <c r="O65" s="551"/>
      <c r="P65" s="548"/>
      <c r="Q65" s="552"/>
      <c r="R65" s="553"/>
      <c r="S65" s="554"/>
    </row>
    <row r="66" spans="1:19" s="100" customFormat="1" ht="13.5" customHeight="1">
      <c r="A66" s="146"/>
      <c r="B66" s="147"/>
      <c r="C66" s="401"/>
      <c r="D66" s="158" t="s">
        <v>600</v>
      </c>
      <c r="E66" s="147"/>
      <c r="F66" s="148"/>
      <c r="G66" s="106"/>
      <c r="H66" s="149"/>
      <c r="I66" s="150"/>
      <c r="J66" s="555"/>
      <c r="K66" s="550"/>
      <c r="L66" s="547"/>
      <c r="M66" s="548"/>
      <c r="N66" s="548"/>
      <c r="O66" s="551"/>
      <c r="P66" s="548"/>
      <c r="Q66" s="552"/>
      <c r="R66" s="553"/>
      <c r="S66" s="554"/>
    </row>
    <row r="67" spans="1:19" s="100" customFormat="1" ht="13.5" customHeight="1">
      <c r="A67" s="165">
        <v>8</v>
      </c>
      <c r="B67" s="105" t="s">
        <v>114</v>
      </c>
      <c r="C67" s="97" t="s">
        <v>134</v>
      </c>
      <c r="D67" s="97" t="s">
        <v>598</v>
      </c>
      <c r="E67" s="97" t="s">
        <v>23</v>
      </c>
      <c r="F67" s="400">
        <f>SUM(F68)</f>
        <v>1</v>
      </c>
      <c r="G67" s="106">
        <v>180000</v>
      </c>
      <c r="H67" s="133">
        <f>F67*G67</f>
        <v>180000</v>
      </c>
      <c r="I67" s="99" t="s">
        <v>49</v>
      </c>
      <c r="J67" s="546"/>
      <c r="L67" s="547"/>
      <c r="M67" s="548"/>
      <c r="N67" s="549"/>
    </row>
    <row r="68" spans="1:19" s="100" customFormat="1" ht="13.5" customHeight="1">
      <c r="A68" s="146"/>
      <c r="B68" s="147"/>
      <c r="C68" s="401"/>
      <c r="D68" s="153" t="s">
        <v>599</v>
      </c>
      <c r="E68" s="147"/>
      <c r="F68" s="113">
        <v>1</v>
      </c>
      <c r="G68" s="106"/>
      <c r="H68" s="149"/>
      <c r="I68" s="402"/>
      <c r="J68" s="546"/>
      <c r="K68" s="550"/>
      <c r="L68" s="547"/>
      <c r="M68" s="548"/>
      <c r="N68" s="548"/>
      <c r="O68" s="551"/>
      <c r="P68" s="548"/>
      <c r="Q68" s="552"/>
      <c r="R68" s="553"/>
      <c r="S68" s="554"/>
    </row>
    <row r="69" spans="1:19" s="100" customFormat="1" ht="13.5" customHeight="1">
      <c r="A69" s="146"/>
      <c r="B69" s="147"/>
      <c r="C69" s="401"/>
      <c r="D69" s="80" t="s">
        <v>80</v>
      </c>
      <c r="E69" s="147"/>
      <c r="F69" s="148"/>
      <c r="G69" s="106"/>
      <c r="H69" s="149"/>
      <c r="I69" s="402"/>
      <c r="J69" s="555"/>
      <c r="K69" s="556"/>
      <c r="L69" s="547"/>
      <c r="M69" s="548"/>
      <c r="N69" s="549"/>
      <c r="P69" s="548"/>
      <c r="Q69" s="552"/>
      <c r="R69" s="553"/>
      <c r="S69" s="554"/>
    </row>
    <row r="70" spans="1:19" s="100" customFormat="1" ht="13.5" customHeight="1">
      <c r="A70" s="146"/>
      <c r="B70" s="147"/>
      <c r="C70" s="401"/>
      <c r="D70" s="158" t="s">
        <v>586</v>
      </c>
      <c r="E70" s="147"/>
      <c r="F70" s="148"/>
      <c r="G70" s="106"/>
      <c r="H70" s="149"/>
      <c r="I70" s="150"/>
      <c r="J70" s="555"/>
      <c r="K70" s="556"/>
      <c r="L70" s="547"/>
      <c r="M70" s="548"/>
      <c r="N70" s="549"/>
      <c r="O70" s="551"/>
      <c r="P70" s="548"/>
      <c r="Q70" s="552"/>
      <c r="R70" s="553"/>
      <c r="S70" s="554"/>
    </row>
    <row r="71" spans="1:19" s="100" customFormat="1" ht="13.5" customHeight="1">
      <c r="A71" s="146"/>
      <c r="B71" s="147"/>
      <c r="C71" s="401"/>
      <c r="D71" s="158" t="s">
        <v>133</v>
      </c>
      <c r="E71" s="147"/>
      <c r="F71" s="148"/>
      <c r="G71" s="106"/>
      <c r="H71" s="149"/>
      <c r="I71" s="150"/>
      <c r="J71" s="555"/>
      <c r="K71" s="556"/>
      <c r="L71" s="547"/>
      <c r="M71" s="548"/>
      <c r="N71" s="548"/>
      <c r="O71" s="551"/>
      <c r="P71" s="548"/>
      <c r="Q71" s="552"/>
      <c r="R71" s="553"/>
      <c r="S71" s="554"/>
    </row>
    <row r="72" spans="1:19" s="100" customFormat="1" ht="13.5" customHeight="1">
      <c r="A72" s="146"/>
      <c r="B72" s="147"/>
      <c r="C72" s="401"/>
      <c r="D72" s="158" t="s">
        <v>601</v>
      </c>
      <c r="E72" s="147"/>
      <c r="F72" s="148"/>
      <c r="G72" s="106"/>
      <c r="H72" s="149"/>
      <c r="I72" s="150"/>
      <c r="J72" s="555"/>
      <c r="K72" s="550"/>
      <c r="L72" s="547"/>
      <c r="M72" s="548"/>
      <c r="N72" s="548"/>
      <c r="O72" s="551"/>
      <c r="P72" s="548"/>
      <c r="Q72" s="552"/>
      <c r="R72" s="553"/>
      <c r="S72" s="554"/>
    </row>
    <row r="73" spans="1:19" s="100" customFormat="1" ht="13.5" customHeight="1">
      <c r="A73" s="146"/>
      <c r="B73" s="147"/>
      <c r="C73" s="164" t="s">
        <v>75</v>
      </c>
      <c r="D73" s="164" t="s">
        <v>86</v>
      </c>
      <c r="E73" s="164"/>
      <c r="F73" s="166"/>
      <c r="G73" s="167"/>
      <c r="H73" s="167">
        <f>SUM(H74:H93)</f>
        <v>934250</v>
      </c>
      <c r="I73" s="109"/>
      <c r="K73" s="544"/>
      <c r="L73" s="545"/>
      <c r="M73" s="111"/>
      <c r="N73" s="544"/>
    </row>
    <row r="74" spans="1:19" s="92" customFormat="1" ht="13.5" customHeight="1">
      <c r="A74" s="168" t="s">
        <v>78</v>
      </c>
      <c r="B74" s="169" t="s">
        <v>114</v>
      </c>
      <c r="C74" s="89" t="s">
        <v>151</v>
      </c>
      <c r="D74" s="97" t="s">
        <v>152</v>
      </c>
      <c r="E74" s="89" t="s">
        <v>48</v>
      </c>
      <c r="F74" s="98">
        <f>SUM(F75)</f>
        <v>670</v>
      </c>
      <c r="G74" s="106">
        <v>1275</v>
      </c>
      <c r="H74" s="138">
        <f>F74*G74</f>
        <v>854250</v>
      </c>
      <c r="I74" s="99" t="s">
        <v>49</v>
      </c>
      <c r="J74" s="100"/>
      <c r="K74" s="544"/>
      <c r="L74" s="545"/>
      <c r="M74" s="111"/>
      <c r="N74" s="544"/>
      <c r="O74" s="557"/>
      <c r="P74" s="557"/>
      <c r="Q74" s="557"/>
    </row>
    <row r="75" spans="1:19" s="92" customFormat="1" ht="13.5" customHeight="1">
      <c r="A75" s="168"/>
      <c r="B75" s="169"/>
      <c r="C75" s="89"/>
      <c r="D75" s="80" t="s">
        <v>487</v>
      </c>
      <c r="E75" s="89"/>
      <c r="F75" s="113">
        <v>670</v>
      </c>
      <c r="G75" s="91"/>
      <c r="H75" s="91"/>
      <c r="I75" s="106"/>
      <c r="J75" s="100"/>
      <c r="K75" s="544"/>
      <c r="L75" s="545"/>
      <c r="M75" s="111"/>
      <c r="N75" s="544"/>
    </row>
    <row r="76" spans="1:19" s="92" customFormat="1" ht="13.5" customHeight="1">
      <c r="A76" s="170"/>
      <c r="B76" s="89"/>
      <c r="C76" s="89"/>
      <c r="D76" s="80" t="s">
        <v>80</v>
      </c>
      <c r="E76" s="89"/>
      <c r="F76" s="142"/>
      <c r="G76" s="91"/>
      <c r="H76" s="91"/>
      <c r="I76" s="106"/>
      <c r="J76" s="100"/>
      <c r="K76" s="544"/>
      <c r="L76" s="545"/>
      <c r="M76" s="111"/>
      <c r="N76" s="544"/>
      <c r="O76" s="112"/>
    </row>
    <row r="77" spans="1:19" s="112" customFormat="1" ht="13.5" customHeight="1">
      <c r="A77" s="171"/>
      <c r="B77" s="158"/>
      <c r="C77" s="158"/>
      <c r="D77" s="158" t="s">
        <v>144</v>
      </c>
      <c r="E77" s="158"/>
      <c r="F77" s="113"/>
      <c r="G77" s="172"/>
      <c r="H77" s="172"/>
      <c r="I77" s="106"/>
      <c r="J77" s="100"/>
      <c r="K77" s="544"/>
      <c r="L77" s="545"/>
      <c r="M77" s="111"/>
      <c r="N77" s="544"/>
    </row>
    <row r="78" spans="1:19" s="112" customFormat="1" ht="13.5" customHeight="1">
      <c r="A78" s="171"/>
      <c r="B78" s="158"/>
      <c r="C78" s="158"/>
      <c r="D78" s="158" t="s">
        <v>145</v>
      </c>
      <c r="E78" s="158"/>
      <c r="F78" s="113"/>
      <c r="G78" s="172"/>
      <c r="H78" s="172"/>
      <c r="I78" s="106"/>
      <c r="J78" s="100"/>
      <c r="K78" s="544"/>
      <c r="L78" s="545"/>
      <c r="M78" s="111"/>
      <c r="N78" s="544"/>
      <c r="S78" s="558"/>
    </row>
    <row r="79" spans="1:19" s="112" customFormat="1" ht="13.5" customHeight="1">
      <c r="A79" s="171"/>
      <c r="B79" s="158"/>
      <c r="C79" s="158"/>
      <c r="D79" s="158" t="s">
        <v>147</v>
      </c>
      <c r="E79" s="158"/>
      <c r="F79" s="113"/>
      <c r="G79" s="172"/>
      <c r="H79" s="172"/>
      <c r="I79" s="173"/>
      <c r="J79" s="100"/>
      <c r="K79" s="544"/>
      <c r="L79" s="545"/>
      <c r="M79" s="111"/>
      <c r="N79" s="544"/>
      <c r="S79" s="558"/>
    </row>
    <row r="80" spans="1:19" s="112" customFormat="1" ht="13.5" customHeight="1">
      <c r="A80" s="171"/>
      <c r="B80" s="158"/>
      <c r="C80" s="158"/>
      <c r="D80" s="80" t="s">
        <v>148</v>
      </c>
      <c r="E80" s="158"/>
      <c r="F80" s="113"/>
      <c r="G80" s="172"/>
      <c r="H80" s="172"/>
      <c r="I80" s="173"/>
      <c r="J80" s="100"/>
      <c r="K80" s="544"/>
      <c r="L80" s="545"/>
      <c r="M80" s="111"/>
      <c r="N80" s="544"/>
    </row>
    <row r="81" spans="1:19" s="112" customFormat="1" ht="27" customHeight="1">
      <c r="A81" s="171"/>
      <c r="B81" s="158"/>
      <c r="C81" s="158"/>
      <c r="D81" s="80" t="s">
        <v>149</v>
      </c>
      <c r="E81" s="158"/>
      <c r="F81" s="113"/>
      <c r="G81" s="172"/>
      <c r="H81" s="172"/>
      <c r="I81" s="173"/>
      <c r="J81" s="100"/>
      <c r="K81" s="544"/>
      <c r="L81" s="545"/>
      <c r="M81" s="111"/>
      <c r="N81" s="544"/>
    </row>
    <row r="82" spans="1:19" s="112" customFormat="1" ht="13.5" customHeight="1">
      <c r="A82" s="171"/>
      <c r="B82" s="158"/>
      <c r="C82" s="158"/>
      <c r="D82" s="158" t="s">
        <v>133</v>
      </c>
      <c r="E82" s="158"/>
      <c r="F82" s="113"/>
      <c r="G82" s="172"/>
      <c r="H82" s="172"/>
      <c r="I82" s="173"/>
      <c r="J82" s="100"/>
      <c r="K82" s="544"/>
      <c r="L82" s="545"/>
      <c r="M82" s="111"/>
      <c r="N82" s="544"/>
    </row>
    <row r="83" spans="1:19" s="112" customFormat="1" ht="13.5" customHeight="1">
      <c r="A83" s="171"/>
      <c r="B83" s="158"/>
      <c r="C83" s="158"/>
      <c r="D83" s="158" t="s">
        <v>150</v>
      </c>
      <c r="E83" s="158"/>
      <c r="F83" s="113"/>
      <c r="G83" s="172"/>
      <c r="H83" s="172"/>
      <c r="I83" s="173"/>
      <c r="J83" s="100"/>
      <c r="K83" s="544"/>
      <c r="L83" s="545"/>
      <c r="M83" s="111"/>
      <c r="N83" s="544"/>
      <c r="P83" s="559"/>
    </row>
    <row r="84" spans="1:19" s="145" customFormat="1" ht="13.5" customHeight="1">
      <c r="A84" s="140"/>
      <c r="B84" s="141"/>
      <c r="C84" s="141"/>
      <c r="D84" s="101" t="s">
        <v>153</v>
      </c>
      <c r="E84" s="141"/>
      <c r="F84" s="160"/>
      <c r="G84" s="143"/>
      <c r="H84" s="143"/>
      <c r="I84" s="159"/>
      <c r="J84" s="100"/>
      <c r="K84" s="544"/>
      <c r="L84" s="545"/>
      <c r="M84" s="111"/>
      <c r="N84" s="544"/>
    </row>
    <row r="85" spans="1:19" s="100" customFormat="1" ht="13.5" customHeight="1">
      <c r="A85" s="403">
        <v>10</v>
      </c>
      <c r="B85" s="105" t="s">
        <v>114</v>
      </c>
      <c r="C85" s="97" t="s">
        <v>165</v>
      </c>
      <c r="D85" s="404" t="s">
        <v>166</v>
      </c>
      <c r="E85" s="97" t="s">
        <v>23</v>
      </c>
      <c r="F85" s="175">
        <f>SUM(F86)</f>
        <v>1</v>
      </c>
      <c r="G85" s="98">
        <v>80000</v>
      </c>
      <c r="H85" s="133">
        <f>F85*G85</f>
        <v>80000</v>
      </c>
      <c r="I85" s="99" t="s">
        <v>49</v>
      </c>
      <c r="J85" s="621"/>
    </row>
    <row r="86" spans="1:19" s="92" customFormat="1" ht="13.5" customHeight="1">
      <c r="A86" s="168"/>
      <c r="B86" s="169"/>
      <c r="C86" s="89"/>
      <c r="D86" s="80" t="s">
        <v>167</v>
      </c>
      <c r="E86" s="89"/>
      <c r="F86" s="405">
        <v>1</v>
      </c>
      <c r="G86" s="91"/>
      <c r="H86" s="91"/>
      <c r="I86" s="99"/>
      <c r="J86" s="540"/>
      <c r="K86" s="538"/>
      <c r="L86" s="538"/>
      <c r="M86" s="537"/>
      <c r="N86" s="111"/>
      <c r="O86" s="578"/>
    </row>
    <row r="87" spans="1:19" s="92" customFormat="1" ht="13.5" customHeight="1">
      <c r="A87" s="170"/>
      <c r="B87" s="89"/>
      <c r="C87" s="89"/>
      <c r="D87" s="80" t="s">
        <v>80</v>
      </c>
      <c r="E87" s="89"/>
      <c r="F87" s="142"/>
      <c r="G87" s="91"/>
      <c r="H87" s="91"/>
      <c r="I87" s="176"/>
      <c r="J87" s="537"/>
      <c r="K87" s="538"/>
      <c r="L87" s="538"/>
      <c r="M87" s="537"/>
      <c r="N87" s="539"/>
    </row>
    <row r="88" spans="1:19" s="112" customFormat="1" ht="13.5" customHeight="1">
      <c r="A88" s="171"/>
      <c r="B88" s="158"/>
      <c r="C88" s="158"/>
      <c r="D88" s="158" t="s">
        <v>168</v>
      </c>
      <c r="E88" s="158"/>
      <c r="F88" s="113"/>
      <c r="G88" s="172"/>
      <c r="H88" s="172"/>
      <c r="I88" s="173"/>
      <c r="J88" s="537"/>
      <c r="K88" s="538"/>
      <c r="L88" s="538"/>
      <c r="M88" s="537"/>
      <c r="N88" s="111"/>
    </row>
    <row r="89" spans="1:19" s="112" customFormat="1" ht="27" customHeight="1">
      <c r="A89" s="171"/>
      <c r="B89" s="158"/>
      <c r="C89" s="158"/>
      <c r="D89" s="158" t="s">
        <v>169</v>
      </c>
      <c r="E89" s="158"/>
      <c r="F89" s="113"/>
      <c r="G89" s="172"/>
      <c r="H89" s="172"/>
      <c r="I89" s="173"/>
      <c r="J89" s="540"/>
      <c r="K89" s="538"/>
      <c r="L89" s="538"/>
      <c r="M89" s="537"/>
      <c r="N89" s="111"/>
      <c r="S89" s="558"/>
    </row>
    <row r="90" spans="1:19" s="112" customFormat="1" ht="27" customHeight="1">
      <c r="A90" s="171"/>
      <c r="B90" s="158"/>
      <c r="C90" s="158"/>
      <c r="D90" s="158" t="s">
        <v>170</v>
      </c>
      <c r="E90" s="158"/>
      <c r="F90" s="113"/>
      <c r="G90" s="172"/>
      <c r="H90" s="172"/>
      <c r="I90" s="173"/>
      <c r="J90" s="537"/>
      <c r="K90" s="538"/>
      <c r="L90" s="538"/>
      <c r="M90" s="537"/>
      <c r="N90" s="111"/>
    </row>
    <row r="91" spans="1:19" s="112" customFormat="1" ht="13.5" customHeight="1">
      <c r="A91" s="171"/>
      <c r="B91" s="158"/>
      <c r="C91" s="158"/>
      <c r="D91" s="80" t="s">
        <v>171</v>
      </c>
      <c r="E91" s="158"/>
      <c r="F91" s="113"/>
      <c r="G91" s="172"/>
      <c r="H91" s="172"/>
      <c r="I91" s="173"/>
      <c r="J91" s="537"/>
      <c r="K91" s="538"/>
      <c r="L91" s="538"/>
      <c r="M91" s="537"/>
      <c r="N91" s="539"/>
    </row>
    <row r="92" spans="1:19" s="112" customFormat="1" ht="13.5" customHeight="1">
      <c r="A92" s="171"/>
      <c r="B92" s="158"/>
      <c r="C92" s="158"/>
      <c r="D92" s="80" t="s">
        <v>133</v>
      </c>
      <c r="E92" s="158"/>
      <c r="F92" s="113"/>
      <c r="G92" s="172"/>
      <c r="H92" s="172"/>
      <c r="I92" s="173"/>
      <c r="J92" s="537"/>
      <c r="K92" s="538"/>
      <c r="L92" s="538"/>
      <c r="M92" s="537"/>
      <c r="N92" s="111"/>
      <c r="O92" s="628"/>
      <c r="P92" s="548"/>
    </row>
    <row r="93" spans="1:19" s="112" customFormat="1" ht="13.5" customHeight="1">
      <c r="A93" s="171"/>
      <c r="B93" s="158"/>
      <c r="C93" s="158"/>
      <c r="D93" s="158" t="s">
        <v>172</v>
      </c>
      <c r="E93" s="158"/>
      <c r="F93" s="113"/>
      <c r="G93" s="172"/>
      <c r="H93" s="172"/>
      <c r="I93" s="173"/>
      <c r="J93" s="537"/>
      <c r="K93" s="538"/>
      <c r="L93" s="538"/>
      <c r="M93" s="537"/>
      <c r="N93" s="111"/>
      <c r="P93" s="559"/>
    </row>
    <row r="94" spans="1:19" s="100" customFormat="1" ht="13.5" customHeight="1">
      <c r="A94" s="146"/>
      <c r="B94" s="147"/>
      <c r="C94" s="147" t="s">
        <v>78</v>
      </c>
      <c r="D94" s="147" t="s">
        <v>87</v>
      </c>
      <c r="E94" s="147"/>
      <c r="F94" s="148"/>
      <c r="G94" s="149"/>
      <c r="H94" s="149">
        <f>SUM(H95:H154)</f>
        <v>4904460.5550000006</v>
      </c>
      <c r="I94" s="150"/>
      <c r="J94" s="529"/>
      <c r="K94" s="544"/>
      <c r="L94" s="545"/>
      <c r="M94" s="111"/>
      <c r="N94" s="544"/>
      <c r="Q94" s="560"/>
    </row>
    <row r="95" spans="1:19" s="100" customFormat="1" ht="13.5" customHeight="1">
      <c r="A95" s="274">
        <v>11</v>
      </c>
      <c r="B95" s="182" t="s">
        <v>380</v>
      </c>
      <c r="C95" s="183" t="s">
        <v>381</v>
      </c>
      <c r="D95" s="183" t="s">
        <v>382</v>
      </c>
      <c r="E95" s="183" t="s">
        <v>48</v>
      </c>
      <c r="F95" s="256">
        <f>SUM(F96)</f>
        <v>54.083000000000006</v>
      </c>
      <c r="G95" s="276">
        <v>2233</v>
      </c>
      <c r="H95" s="138">
        <f>F95*G95</f>
        <v>120767.33900000001</v>
      </c>
      <c r="I95" s="99" t="s">
        <v>49</v>
      </c>
      <c r="K95" s="544"/>
      <c r="L95" s="545"/>
      <c r="M95" s="111"/>
      <c r="N95" s="544"/>
      <c r="Q95" s="560"/>
    </row>
    <row r="96" spans="1:19" s="145" customFormat="1" ht="13.5" customHeight="1">
      <c r="A96" s="140"/>
      <c r="B96" s="141"/>
      <c r="C96" s="141"/>
      <c r="D96" s="273" t="s">
        <v>493</v>
      </c>
      <c r="E96" s="183"/>
      <c r="F96" s="275">
        <f>3.055+3.567+4.548+5.058+6.722+3.987+4.656+5.935+6.601+9.954</f>
        <v>54.083000000000006</v>
      </c>
      <c r="G96" s="143"/>
      <c r="H96" s="143"/>
      <c r="I96" s="143"/>
      <c r="J96" s="100"/>
      <c r="L96" s="629"/>
      <c r="M96" s="630"/>
      <c r="N96" s="272"/>
      <c r="O96" s="631"/>
    </row>
    <row r="97" spans="1:17" s="145" customFormat="1" ht="13.5" customHeight="1">
      <c r="A97" s="140"/>
      <c r="B97" s="141"/>
      <c r="C97" s="141"/>
      <c r="D97" s="273" t="s">
        <v>383</v>
      </c>
      <c r="E97" s="141"/>
      <c r="F97" s="160"/>
      <c r="G97" s="143"/>
      <c r="H97" s="143"/>
      <c r="I97" s="143"/>
      <c r="J97" s="100"/>
      <c r="L97" s="629"/>
      <c r="M97" s="630"/>
      <c r="N97" s="272"/>
      <c r="O97" s="631"/>
    </row>
    <row r="98" spans="1:17" s="258" customFormat="1" ht="66.900000000000006" customHeight="1">
      <c r="A98" s="255"/>
      <c r="B98" s="279"/>
      <c r="C98" s="277"/>
      <c r="D98" s="108" t="s">
        <v>57</v>
      </c>
      <c r="E98" s="273"/>
      <c r="F98" s="280"/>
      <c r="G98" s="256"/>
      <c r="H98" s="256"/>
      <c r="I98" s="256"/>
      <c r="J98" s="100"/>
      <c r="L98" s="629"/>
      <c r="M98" s="630"/>
      <c r="N98" s="272"/>
      <c r="O98" s="631"/>
    </row>
    <row r="99" spans="1:17" s="100" customFormat="1" ht="13.5" customHeight="1">
      <c r="A99" s="274">
        <v>12</v>
      </c>
      <c r="B99" s="182" t="s">
        <v>380</v>
      </c>
      <c r="C99" s="183" t="s">
        <v>384</v>
      </c>
      <c r="D99" s="183" t="s">
        <v>385</v>
      </c>
      <c r="E99" s="183" t="s">
        <v>47</v>
      </c>
      <c r="F99" s="256">
        <f>SUM(F100)</f>
        <v>44.850999999999999</v>
      </c>
      <c r="G99" s="276">
        <v>16560</v>
      </c>
      <c r="H99" s="138">
        <f>F99*G99</f>
        <v>742732.55999999994</v>
      </c>
      <c r="I99" s="99" t="s">
        <v>49</v>
      </c>
      <c r="K99" s="544"/>
      <c r="L99" s="545"/>
      <c r="M99" s="111"/>
      <c r="N99" s="544"/>
      <c r="Q99" s="560"/>
    </row>
    <row r="100" spans="1:17" s="145" customFormat="1" ht="13.5" customHeight="1">
      <c r="A100" s="140"/>
      <c r="B100" s="141"/>
      <c r="C100" s="141"/>
      <c r="D100" s="273" t="s">
        <v>492</v>
      </c>
      <c r="E100" s="183"/>
      <c r="F100" s="275">
        <f>26.008+28.116-0.458-0.535-0.682-0.759-1.589-0.598-0.698-0.89-0.99-2.074</f>
        <v>44.850999999999999</v>
      </c>
      <c r="G100" s="143"/>
      <c r="H100" s="143"/>
      <c r="I100" s="143"/>
      <c r="J100" s="100"/>
      <c r="L100" s="629"/>
      <c r="M100" s="630"/>
      <c r="N100" s="272"/>
      <c r="O100" s="631"/>
    </row>
    <row r="101" spans="1:17" s="145" customFormat="1" ht="13.5" customHeight="1">
      <c r="A101" s="140"/>
      <c r="B101" s="141"/>
      <c r="C101" s="141"/>
      <c r="D101" s="273" t="s">
        <v>386</v>
      </c>
      <c r="E101" s="141"/>
      <c r="F101" s="160"/>
      <c r="G101" s="143"/>
      <c r="H101" s="143"/>
      <c r="I101" s="143"/>
      <c r="J101" s="100"/>
      <c r="L101" s="629"/>
      <c r="M101" s="630"/>
      <c r="N101" s="272"/>
      <c r="O101" s="631"/>
    </row>
    <row r="102" spans="1:17" s="258" customFormat="1" ht="66.900000000000006" customHeight="1">
      <c r="A102" s="255"/>
      <c r="B102" s="279"/>
      <c r="C102" s="277"/>
      <c r="D102" s="108" t="s">
        <v>57</v>
      </c>
      <c r="E102" s="273"/>
      <c r="F102" s="280"/>
      <c r="G102" s="256"/>
      <c r="H102" s="256"/>
      <c r="I102" s="256"/>
      <c r="J102" s="100"/>
      <c r="L102" s="629"/>
      <c r="M102" s="630"/>
      <c r="N102" s="272"/>
      <c r="O102" s="631"/>
    </row>
    <row r="103" spans="1:17" s="272" customFormat="1" ht="13.5" customHeight="1">
      <c r="A103" s="415">
        <v>13</v>
      </c>
      <c r="B103" s="416" t="s">
        <v>380</v>
      </c>
      <c r="C103" s="417">
        <v>963053936</v>
      </c>
      <c r="D103" s="417" t="s">
        <v>589</v>
      </c>
      <c r="E103" s="417" t="s">
        <v>23</v>
      </c>
      <c r="F103" s="414">
        <f>SUM(F105:F105)</f>
        <v>1</v>
      </c>
      <c r="G103" s="478">
        <v>38000</v>
      </c>
      <c r="H103" s="138">
        <f>F103*G103</f>
        <v>38000</v>
      </c>
      <c r="I103" s="99" t="s">
        <v>49</v>
      </c>
      <c r="K103" s="606"/>
      <c r="L103" s="632"/>
      <c r="M103" s="632"/>
      <c r="N103" s="606"/>
      <c r="O103" s="539"/>
    </row>
    <row r="104" spans="1:17" s="272" customFormat="1" ht="27" customHeight="1">
      <c r="A104" s="415"/>
      <c r="B104" s="416"/>
      <c r="C104" s="417"/>
      <c r="D104" s="413" t="s">
        <v>590</v>
      </c>
      <c r="E104" s="417"/>
      <c r="F104" s="419"/>
      <c r="G104" s="420"/>
      <c r="H104" s="420"/>
      <c r="I104" s="420"/>
      <c r="J104" s="633"/>
      <c r="K104" s="606"/>
      <c r="L104" s="632"/>
      <c r="M104" s="632"/>
      <c r="N104" s="606"/>
    </row>
    <row r="105" spans="1:17" s="272" customFormat="1" ht="13.5" customHeight="1">
      <c r="A105" s="415"/>
      <c r="B105" s="416"/>
      <c r="C105" s="417"/>
      <c r="D105" s="413" t="s">
        <v>644</v>
      </c>
      <c r="E105" s="417"/>
      <c r="F105" s="419">
        <v>1</v>
      </c>
      <c r="G105" s="420"/>
      <c r="H105" s="420"/>
      <c r="I105" s="420"/>
      <c r="J105" s="633"/>
      <c r="K105" s="606"/>
      <c r="L105" s="632"/>
      <c r="M105" s="632"/>
      <c r="N105" s="606"/>
    </row>
    <row r="106" spans="1:17" s="272" customFormat="1" ht="13.5" customHeight="1">
      <c r="A106" s="415"/>
      <c r="B106" s="416"/>
      <c r="C106" s="417"/>
      <c r="D106" s="413" t="s">
        <v>591</v>
      </c>
      <c r="E106" s="417"/>
      <c r="F106" s="419"/>
      <c r="G106" s="420"/>
      <c r="H106" s="420"/>
      <c r="I106" s="420"/>
      <c r="J106" s="633"/>
      <c r="K106" s="606"/>
      <c r="L106" s="632"/>
      <c r="M106" s="632"/>
      <c r="N106" s="606"/>
    </row>
    <row r="107" spans="1:17" s="258" customFormat="1" ht="13.5" customHeight="1">
      <c r="A107" s="415"/>
      <c r="B107" s="416"/>
      <c r="C107" s="417"/>
      <c r="D107" s="479" t="s">
        <v>592</v>
      </c>
      <c r="E107" s="417"/>
      <c r="F107" s="419"/>
      <c r="G107" s="420"/>
      <c r="H107" s="420"/>
      <c r="I107" s="420"/>
      <c r="J107" s="418"/>
      <c r="K107" s="606"/>
      <c r="L107" s="632"/>
      <c r="M107" s="632"/>
      <c r="N107" s="606"/>
    </row>
    <row r="108" spans="1:17" s="486" customFormat="1" ht="66.900000000000006" customHeight="1">
      <c r="A108" s="480"/>
      <c r="B108" s="481"/>
      <c r="C108" s="482"/>
      <c r="D108" s="412" t="s">
        <v>57</v>
      </c>
      <c r="E108" s="483"/>
      <c r="F108" s="484"/>
      <c r="G108" s="485"/>
      <c r="H108" s="487"/>
      <c r="I108" s="487"/>
      <c r="J108" s="634"/>
      <c r="K108" s="606"/>
      <c r="L108" s="632"/>
      <c r="M108" s="632"/>
      <c r="N108" s="606"/>
    </row>
    <row r="109" spans="1:17" s="258" customFormat="1" ht="27" customHeight="1">
      <c r="A109" s="415">
        <v>14</v>
      </c>
      <c r="B109" s="416" t="s">
        <v>380</v>
      </c>
      <c r="C109" s="417" t="s">
        <v>529</v>
      </c>
      <c r="D109" s="417" t="s">
        <v>530</v>
      </c>
      <c r="E109" s="417" t="s">
        <v>23</v>
      </c>
      <c r="F109" s="414">
        <f>SUM(F111)</f>
        <v>1</v>
      </c>
      <c r="G109" s="414">
        <v>1060000</v>
      </c>
      <c r="H109" s="420">
        <f>F109*G109</f>
        <v>1060000</v>
      </c>
      <c r="I109" s="99" t="s">
        <v>49</v>
      </c>
      <c r="J109" s="418"/>
      <c r="K109" s="635"/>
      <c r="L109" s="632"/>
      <c r="M109" s="632"/>
      <c r="N109" s="606"/>
      <c r="O109" s="539"/>
    </row>
    <row r="110" spans="1:17" s="258" customFormat="1" ht="13.5" customHeight="1">
      <c r="A110" s="415"/>
      <c r="B110" s="416"/>
      <c r="C110" s="417"/>
      <c r="D110" s="413" t="s">
        <v>531</v>
      </c>
      <c r="E110" s="417"/>
      <c r="F110" s="414"/>
      <c r="G110" s="414"/>
      <c r="H110" s="420"/>
      <c r="I110" s="420"/>
      <c r="J110" s="418"/>
      <c r="K110" s="606"/>
      <c r="L110" s="632"/>
      <c r="M110" s="632"/>
      <c r="N110" s="606"/>
    </row>
    <row r="111" spans="1:17" s="258" customFormat="1" ht="13.5" customHeight="1">
      <c r="A111" s="415"/>
      <c r="B111" s="416"/>
      <c r="C111" s="417"/>
      <c r="D111" s="413" t="s">
        <v>534</v>
      </c>
      <c r="E111" s="417"/>
      <c r="F111" s="419">
        <v>1</v>
      </c>
      <c r="G111" s="420"/>
      <c r="H111" s="420"/>
      <c r="I111" s="420"/>
      <c r="J111" s="636"/>
      <c r="K111" s="606"/>
      <c r="L111" s="632"/>
      <c r="M111" s="632"/>
      <c r="N111" s="606"/>
    </row>
    <row r="112" spans="1:17" s="258" customFormat="1" ht="40.5" customHeight="1">
      <c r="A112" s="411"/>
      <c r="B112" s="416"/>
      <c r="C112" s="417"/>
      <c r="D112" s="413" t="s">
        <v>532</v>
      </c>
      <c r="E112" s="417"/>
      <c r="F112" s="419"/>
      <c r="G112" s="414"/>
      <c r="H112" s="414"/>
      <c r="I112" s="414"/>
      <c r="J112" s="636"/>
      <c r="K112" s="606"/>
      <c r="L112" s="632"/>
      <c r="M112" s="632"/>
      <c r="N112" s="606"/>
    </row>
    <row r="113" spans="1:15" s="258" customFormat="1" ht="40.5" customHeight="1">
      <c r="A113" s="411"/>
      <c r="B113" s="416"/>
      <c r="C113" s="417"/>
      <c r="D113" s="413" t="s">
        <v>533</v>
      </c>
      <c r="E113" s="417"/>
      <c r="F113" s="419"/>
      <c r="G113" s="414"/>
      <c r="H113" s="414"/>
      <c r="I113" s="414"/>
      <c r="J113" s="636"/>
      <c r="K113" s="606"/>
      <c r="L113" s="632"/>
      <c r="M113" s="632"/>
      <c r="N113" s="606"/>
    </row>
    <row r="114" spans="1:15" s="258" customFormat="1" ht="54" customHeight="1">
      <c r="A114" s="411"/>
      <c r="B114" s="416"/>
      <c r="C114" s="417"/>
      <c r="D114" s="413" t="s">
        <v>528</v>
      </c>
      <c r="E114" s="417"/>
      <c r="F114" s="419"/>
      <c r="G114" s="414"/>
      <c r="H114" s="414"/>
      <c r="I114" s="414"/>
      <c r="J114" s="636"/>
      <c r="K114" s="606"/>
      <c r="L114" s="632"/>
      <c r="M114" s="632"/>
      <c r="N114" s="606"/>
    </row>
    <row r="115" spans="1:15" s="422" customFormat="1" ht="66.900000000000006" customHeight="1">
      <c r="A115" s="415"/>
      <c r="B115" s="417"/>
      <c r="C115" s="417"/>
      <c r="D115" s="412" t="s">
        <v>57</v>
      </c>
      <c r="E115" s="417"/>
      <c r="F115" s="421"/>
      <c r="G115" s="420"/>
      <c r="H115" s="420"/>
      <c r="I115" s="420"/>
      <c r="J115" s="418"/>
      <c r="K115" s="606"/>
      <c r="L115" s="632"/>
      <c r="M115" s="632"/>
      <c r="N115" s="606"/>
    </row>
    <row r="116" spans="1:15" s="258" customFormat="1" ht="27" customHeight="1">
      <c r="A116" s="415">
        <v>15</v>
      </c>
      <c r="B116" s="416" t="s">
        <v>380</v>
      </c>
      <c r="C116" s="417" t="s">
        <v>526</v>
      </c>
      <c r="D116" s="417" t="s">
        <v>535</v>
      </c>
      <c r="E116" s="417" t="s">
        <v>23</v>
      </c>
      <c r="F116" s="414">
        <f>SUM(F117:F117)</f>
        <v>1</v>
      </c>
      <c r="G116" s="414">
        <v>400000</v>
      </c>
      <c r="H116" s="420">
        <f>F116*G116</f>
        <v>400000</v>
      </c>
      <c r="I116" s="99" t="s">
        <v>49</v>
      </c>
      <c r="J116" s="418"/>
      <c r="K116" s="606"/>
      <c r="L116" s="632"/>
      <c r="M116" s="632"/>
      <c r="N116" s="606"/>
      <c r="O116" s="539"/>
    </row>
    <row r="117" spans="1:15" s="258" customFormat="1" ht="13.5" customHeight="1">
      <c r="A117" s="415"/>
      <c r="B117" s="416"/>
      <c r="C117" s="417"/>
      <c r="D117" s="413" t="s">
        <v>536</v>
      </c>
      <c r="E117" s="417"/>
      <c r="F117" s="419">
        <v>1</v>
      </c>
      <c r="G117" s="420"/>
      <c r="H117" s="420"/>
      <c r="I117" s="420"/>
      <c r="J117" s="636"/>
      <c r="K117" s="606"/>
      <c r="L117" s="632"/>
      <c r="M117" s="632"/>
      <c r="N117" s="606"/>
    </row>
    <row r="118" spans="1:15" s="258" customFormat="1" ht="40.5" customHeight="1">
      <c r="A118" s="411"/>
      <c r="B118" s="416"/>
      <c r="C118" s="417"/>
      <c r="D118" s="413" t="s">
        <v>527</v>
      </c>
      <c r="E118" s="417"/>
      <c r="F118" s="419"/>
      <c r="G118" s="414"/>
      <c r="H118" s="414"/>
      <c r="I118" s="414"/>
      <c r="J118" s="636"/>
      <c r="K118" s="606"/>
      <c r="L118" s="632"/>
      <c r="M118" s="632"/>
      <c r="N118" s="606"/>
    </row>
    <row r="119" spans="1:15" s="258" customFormat="1" ht="54" customHeight="1">
      <c r="A119" s="411"/>
      <c r="B119" s="416"/>
      <c r="C119" s="417"/>
      <c r="D119" s="413" t="s">
        <v>528</v>
      </c>
      <c r="E119" s="417"/>
      <c r="F119" s="419"/>
      <c r="G119" s="414"/>
      <c r="H119" s="414"/>
      <c r="I119" s="414"/>
      <c r="J119" s="636"/>
      <c r="K119" s="606"/>
      <c r="L119" s="632"/>
      <c r="M119" s="632"/>
      <c r="N119" s="606"/>
    </row>
    <row r="120" spans="1:15" s="258" customFormat="1" ht="66.900000000000006" customHeight="1">
      <c r="A120" s="415"/>
      <c r="B120" s="416"/>
      <c r="C120" s="417"/>
      <c r="D120" s="412" t="s">
        <v>57</v>
      </c>
      <c r="E120" s="417"/>
      <c r="F120" s="419"/>
      <c r="G120" s="420"/>
      <c r="H120" s="420"/>
      <c r="I120" s="420"/>
      <c r="J120" s="636"/>
      <c r="K120" s="606"/>
      <c r="L120" s="632"/>
      <c r="M120" s="632"/>
      <c r="N120" s="606"/>
    </row>
    <row r="121" spans="1:15" s="258" customFormat="1" ht="13.5" customHeight="1">
      <c r="A121" s="415">
        <v>16</v>
      </c>
      <c r="B121" s="416" t="s">
        <v>380</v>
      </c>
      <c r="C121" s="417" t="s">
        <v>655</v>
      </c>
      <c r="D121" s="417" t="s">
        <v>588</v>
      </c>
      <c r="E121" s="417" t="s">
        <v>23</v>
      </c>
      <c r="F121" s="414">
        <f>SUM(F122:F122)</f>
        <v>1</v>
      </c>
      <c r="G121" s="414">
        <v>1200000</v>
      </c>
      <c r="H121" s="420">
        <f>F121*G121</f>
        <v>1200000</v>
      </c>
      <c r="I121" s="418" t="s">
        <v>58</v>
      </c>
      <c r="J121" s="418"/>
      <c r="K121" s="606"/>
      <c r="L121" s="632"/>
      <c r="M121" s="632"/>
      <c r="N121" s="606"/>
      <c r="O121" s="539"/>
    </row>
    <row r="122" spans="1:15" s="258" customFormat="1" ht="13.5" customHeight="1">
      <c r="A122" s="415"/>
      <c r="B122" s="416"/>
      <c r="C122" s="417"/>
      <c r="D122" s="413" t="s">
        <v>538</v>
      </c>
      <c r="E122" s="417"/>
      <c r="F122" s="113">
        <v>1</v>
      </c>
      <c r="G122" s="420"/>
      <c r="H122" s="420"/>
      <c r="I122" s="420"/>
      <c r="J122" s="636"/>
      <c r="K122" s="606"/>
      <c r="L122" s="632"/>
      <c r="M122" s="632"/>
      <c r="N122" s="606"/>
    </row>
    <row r="123" spans="1:15" s="258" customFormat="1" ht="27" customHeight="1">
      <c r="A123" s="411"/>
      <c r="B123" s="416"/>
      <c r="C123" s="417"/>
      <c r="D123" s="413" t="s">
        <v>539</v>
      </c>
      <c r="E123" s="417"/>
      <c r="F123" s="419"/>
      <c r="G123" s="414"/>
      <c r="H123" s="414"/>
      <c r="I123" s="414"/>
      <c r="J123" s="636"/>
      <c r="K123" s="606"/>
      <c r="L123" s="632"/>
      <c r="M123" s="632"/>
      <c r="N123" s="606"/>
    </row>
    <row r="124" spans="1:15" s="258" customFormat="1" ht="66.900000000000006" customHeight="1">
      <c r="A124" s="415"/>
      <c r="B124" s="416"/>
      <c r="C124" s="417"/>
      <c r="D124" s="412" t="s">
        <v>57</v>
      </c>
      <c r="E124" s="417"/>
      <c r="F124" s="419"/>
      <c r="G124" s="420"/>
      <c r="H124" s="420"/>
      <c r="I124" s="420"/>
      <c r="J124" s="636"/>
      <c r="K124" s="606"/>
      <c r="L124" s="632"/>
      <c r="M124" s="632"/>
      <c r="N124" s="606"/>
    </row>
    <row r="125" spans="1:15" s="258" customFormat="1" ht="13.5" customHeight="1">
      <c r="A125" s="415">
        <v>17</v>
      </c>
      <c r="B125" s="416" t="s">
        <v>380</v>
      </c>
      <c r="C125" s="417" t="s">
        <v>656</v>
      </c>
      <c r="D125" s="417" t="s">
        <v>540</v>
      </c>
      <c r="E125" s="417" t="s">
        <v>48</v>
      </c>
      <c r="F125" s="414">
        <f>SUM(F126:F126)</f>
        <v>743.4</v>
      </c>
      <c r="G125" s="414">
        <v>300</v>
      </c>
      <c r="H125" s="420">
        <f>F125*G125</f>
        <v>223020</v>
      </c>
      <c r="I125" s="418" t="s">
        <v>58</v>
      </c>
      <c r="J125" s="418"/>
      <c r="K125" s="606"/>
      <c r="L125" s="632"/>
      <c r="M125" s="632"/>
      <c r="N125" s="606"/>
      <c r="O125" s="539"/>
    </row>
    <row r="126" spans="1:15" s="258" customFormat="1" ht="13.5" customHeight="1">
      <c r="A126" s="415"/>
      <c r="B126" s="416"/>
      <c r="C126" s="417"/>
      <c r="D126" s="413" t="s">
        <v>541</v>
      </c>
      <c r="E126" s="417"/>
      <c r="F126" s="113">
        <v>743.4</v>
      </c>
      <c r="G126" s="420"/>
      <c r="H126" s="420"/>
      <c r="I126" s="420"/>
      <c r="J126" s="636"/>
      <c r="K126" s="606"/>
      <c r="L126" s="632"/>
      <c r="M126" s="632"/>
      <c r="N126" s="606"/>
    </row>
    <row r="127" spans="1:15" s="258" customFormat="1" ht="27" customHeight="1">
      <c r="A127" s="411"/>
      <c r="B127" s="416"/>
      <c r="C127" s="417"/>
      <c r="D127" s="413" t="s">
        <v>542</v>
      </c>
      <c r="E127" s="417"/>
      <c r="F127" s="419"/>
      <c r="G127" s="414"/>
      <c r="H127" s="414"/>
      <c r="I127" s="414"/>
      <c r="J127" s="636"/>
      <c r="K127" s="606"/>
      <c r="L127" s="632"/>
      <c r="M127" s="632"/>
      <c r="N127" s="606"/>
    </row>
    <row r="128" spans="1:15" s="258" customFormat="1" ht="66.900000000000006" customHeight="1">
      <c r="A128" s="415"/>
      <c r="B128" s="416"/>
      <c r="C128" s="417"/>
      <c r="D128" s="412" t="s">
        <v>57</v>
      </c>
      <c r="E128" s="417"/>
      <c r="F128" s="419"/>
      <c r="G128" s="420"/>
      <c r="H128" s="420"/>
      <c r="I128" s="420"/>
      <c r="J128" s="636"/>
      <c r="K128" s="606"/>
      <c r="L128" s="632"/>
      <c r="M128" s="632"/>
      <c r="N128" s="606"/>
    </row>
    <row r="129" spans="1:18" s="258" customFormat="1" ht="27" customHeight="1">
      <c r="A129" s="255">
        <v>18</v>
      </c>
      <c r="B129" s="93" t="s">
        <v>380</v>
      </c>
      <c r="C129" s="183" t="s">
        <v>387</v>
      </c>
      <c r="D129" s="183" t="s">
        <v>388</v>
      </c>
      <c r="E129" s="183" t="s">
        <v>23</v>
      </c>
      <c r="F129" s="282">
        <f>SUM(F131:F131)</f>
        <v>1</v>
      </c>
      <c r="G129" s="276">
        <v>78000</v>
      </c>
      <c r="H129" s="138">
        <f>F129*G129</f>
        <v>78000</v>
      </c>
      <c r="I129" s="99" t="s">
        <v>49</v>
      </c>
      <c r="J129" s="100"/>
      <c r="K129" s="608"/>
      <c r="L129" s="629"/>
      <c r="M129" s="630"/>
      <c r="N129" s="272"/>
      <c r="O129" s="631"/>
    </row>
    <row r="130" spans="1:18" s="258" customFormat="1" ht="13.5" customHeight="1">
      <c r="A130" s="255"/>
      <c r="B130" s="182"/>
      <c r="C130" s="183"/>
      <c r="D130" s="273" t="s">
        <v>389</v>
      </c>
      <c r="E130" s="183"/>
      <c r="F130" s="257"/>
      <c r="G130" s="256"/>
      <c r="H130" s="256"/>
      <c r="I130" s="256"/>
      <c r="J130" s="100"/>
      <c r="K130" s="607"/>
      <c r="L130" s="629"/>
      <c r="M130" s="630"/>
      <c r="N130" s="272"/>
      <c r="O130" s="631"/>
    </row>
    <row r="131" spans="1:18" s="258" customFormat="1" ht="13.5" customHeight="1">
      <c r="A131" s="255"/>
      <c r="B131" s="182"/>
      <c r="C131" s="183"/>
      <c r="D131" s="281" t="s">
        <v>495</v>
      </c>
      <c r="E131" s="281"/>
      <c r="F131" s="283">
        <v>1</v>
      </c>
      <c r="G131" s="256"/>
      <c r="H131" s="256"/>
      <c r="I131" s="256"/>
      <c r="J131" s="100"/>
      <c r="K131" s="607"/>
      <c r="L131" s="629"/>
      <c r="M131" s="630"/>
      <c r="N131" s="272"/>
      <c r="O131" s="631"/>
    </row>
    <row r="132" spans="1:18" s="258" customFormat="1" ht="66.900000000000006" customHeight="1">
      <c r="A132" s="255"/>
      <c r="B132" s="182"/>
      <c r="C132" s="183"/>
      <c r="D132" s="273" t="s">
        <v>390</v>
      </c>
      <c r="E132" s="183"/>
      <c r="F132" s="278"/>
      <c r="G132" s="256"/>
      <c r="H132" s="256"/>
      <c r="I132" s="256"/>
      <c r="J132" s="100"/>
      <c r="K132" s="637"/>
      <c r="L132" s="629"/>
      <c r="M132" s="630"/>
      <c r="N132" s="272"/>
      <c r="O132" s="631"/>
    </row>
    <row r="133" spans="1:18" s="258" customFormat="1" ht="27" customHeight="1">
      <c r="A133" s="255"/>
      <c r="B133" s="182"/>
      <c r="C133" s="183"/>
      <c r="D133" s="273" t="s">
        <v>391</v>
      </c>
      <c r="E133" s="183"/>
      <c r="F133" s="278"/>
      <c r="G133" s="256"/>
      <c r="H133" s="256"/>
      <c r="I133" s="256"/>
      <c r="J133" s="100"/>
      <c r="K133" s="638"/>
      <c r="L133" s="629"/>
      <c r="M133" s="630"/>
      <c r="N133" s="272"/>
      <c r="O133" s="631"/>
    </row>
    <row r="134" spans="1:18" s="258" customFormat="1" ht="67.5" customHeight="1">
      <c r="A134" s="284"/>
      <c r="B134" s="279"/>
      <c r="C134" s="277"/>
      <c r="D134" s="108" t="s">
        <v>57</v>
      </c>
      <c r="E134" s="273"/>
      <c r="F134" s="278"/>
      <c r="G134" s="256"/>
      <c r="H134" s="256"/>
      <c r="I134" s="256"/>
      <c r="J134" s="100"/>
      <c r="L134" s="629"/>
      <c r="M134" s="630"/>
      <c r="N134" s="272"/>
      <c r="O134" s="631"/>
    </row>
    <row r="135" spans="1:18" s="258" customFormat="1" ht="13.5" customHeight="1">
      <c r="A135" s="285">
        <v>19</v>
      </c>
      <c r="B135" s="241" t="s">
        <v>380</v>
      </c>
      <c r="C135" s="241" t="s">
        <v>392</v>
      </c>
      <c r="D135" s="241" t="s">
        <v>393</v>
      </c>
      <c r="E135" s="241" t="s">
        <v>23</v>
      </c>
      <c r="F135" s="236">
        <f>SUM(F136)</f>
        <v>1</v>
      </c>
      <c r="G135" s="236">
        <v>195000</v>
      </c>
      <c r="H135" s="138">
        <f>F135*G135</f>
        <v>195000</v>
      </c>
      <c r="I135" s="99" t="s">
        <v>49</v>
      </c>
      <c r="J135" s="100"/>
      <c r="K135" s="606"/>
      <c r="L135" s="632"/>
      <c r="M135" s="632"/>
      <c r="N135" s="606"/>
      <c r="O135" s="539"/>
    </row>
    <row r="136" spans="1:18" s="243" customFormat="1" ht="13.5" customHeight="1">
      <c r="A136" s="239"/>
      <c r="B136" s="240"/>
      <c r="C136" s="241"/>
      <c r="D136" s="250" t="s">
        <v>494</v>
      </c>
      <c r="E136" s="241"/>
      <c r="F136" s="246">
        <v>1</v>
      </c>
      <c r="G136" s="242"/>
      <c r="H136" s="242"/>
      <c r="I136" s="242"/>
      <c r="J136" s="100"/>
      <c r="K136" s="258"/>
      <c r="L136" s="600"/>
      <c r="N136" s="601"/>
    </row>
    <row r="137" spans="1:18" s="258" customFormat="1" ht="13.5" customHeight="1">
      <c r="A137" s="285"/>
      <c r="B137" s="178"/>
      <c r="C137" s="178"/>
      <c r="D137" s="179" t="s">
        <v>394</v>
      </c>
      <c r="E137" s="178"/>
      <c r="F137" s="180"/>
      <c r="G137" s="180"/>
      <c r="H137" s="236"/>
      <c r="I137" s="236"/>
      <c r="J137" s="100"/>
      <c r="L137" s="632"/>
      <c r="M137" s="632"/>
      <c r="N137" s="606"/>
    </row>
    <row r="138" spans="1:18" s="258" customFormat="1" ht="27" customHeight="1">
      <c r="A138" s="285"/>
      <c r="B138" s="178"/>
      <c r="C138" s="178"/>
      <c r="D138" s="179" t="s">
        <v>395</v>
      </c>
      <c r="E138" s="178"/>
      <c r="F138" s="180"/>
      <c r="G138" s="180"/>
      <c r="H138" s="236"/>
      <c r="I138" s="236"/>
      <c r="J138" s="100"/>
      <c r="L138" s="632"/>
      <c r="M138" s="632"/>
      <c r="N138" s="606"/>
    </row>
    <row r="139" spans="1:18" s="258" customFormat="1" ht="27" customHeight="1">
      <c r="A139" s="285"/>
      <c r="B139" s="178"/>
      <c r="C139" s="178"/>
      <c r="D139" s="179" t="s">
        <v>396</v>
      </c>
      <c r="E139" s="178"/>
      <c r="F139" s="180"/>
      <c r="G139" s="180"/>
      <c r="H139" s="236"/>
      <c r="I139" s="236"/>
      <c r="J139" s="100"/>
      <c r="K139" s="606"/>
      <c r="L139" s="632"/>
      <c r="M139" s="632"/>
      <c r="N139" s="606"/>
    </row>
    <row r="140" spans="1:18" s="258" customFormat="1" ht="66.900000000000006" customHeight="1">
      <c r="A140" s="285"/>
      <c r="B140" s="177"/>
      <c r="C140" s="178"/>
      <c r="D140" s="108" t="s">
        <v>57</v>
      </c>
      <c r="E140" s="179"/>
      <c r="F140" s="246"/>
      <c r="G140" s="236"/>
      <c r="H140" s="236"/>
      <c r="I140" s="236"/>
      <c r="J140" s="100"/>
      <c r="K140" s="606"/>
      <c r="L140" s="632"/>
      <c r="M140" s="632"/>
      <c r="N140" s="606"/>
      <c r="O140" s="639"/>
    </row>
    <row r="141" spans="1:18" s="134" customFormat="1" ht="13.5" customHeight="1">
      <c r="A141" s="181">
        <v>20</v>
      </c>
      <c r="B141" s="182" t="s">
        <v>176</v>
      </c>
      <c r="C141" s="183" t="s">
        <v>177</v>
      </c>
      <c r="D141" s="183" t="s">
        <v>178</v>
      </c>
      <c r="E141" s="136" t="s">
        <v>48</v>
      </c>
      <c r="F141" s="184">
        <f>SUM(F142)</f>
        <v>767</v>
      </c>
      <c r="G141" s="138">
        <v>594.6</v>
      </c>
      <c r="H141" s="138">
        <f>F141*G141</f>
        <v>456058.2</v>
      </c>
      <c r="I141" s="99" t="s">
        <v>58</v>
      </c>
      <c r="J141" s="100"/>
      <c r="K141" s="640"/>
      <c r="N141" s="530"/>
      <c r="P141" s="531"/>
    </row>
    <row r="142" spans="1:18" s="134" customFormat="1" ht="13.5" customHeight="1">
      <c r="A142" s="181"/>
      <c r="B142" s="182"/>
      <c r="C142" s="183"/>
      <c r="D142" s="185" t="s">
        <v>491</v>
      </c>
      <c r="E142" s="136"/>
      <c r="F142" s="113">
        <f>(43*2+16*2)*6.5</f>
        <v>767</v>
      </c>
      <c r="G142" s="138"/>
      <c r="H142" s="138"/>
      <c r="I142" s="138"/>
      <c r="J142" s="100"/>
      <c r="K142" s="640"/>
      <c r="L142" s="186"/>
      <c r="M142" s="186"/>
      <c r="N142" s="530"/>
      <c r="O142" s="186"/>
      <c r="P142" s="187"/>
      <c r="Q142" s="186"/>
    </row>
    <row r="143" spans="1:18" s="134" customFormat="1" ht="13.5" customHeight="1">
      <c r="A143" s="181"/>
      <c r="B143" s="182"/>
      <c r="C143" s="183"/>
      <c r="D143" s="185" t="s">
        <v>80</v>
      </c>
      <c r="E143" s="136"/>
      <c r="F143" s="389"/>
      <c r="G143" s="138"/>
      <c r="H143" s="138"/>
      <c r="I143" s="138"/>
      <c r="J143" s="100"/>
      <c r="K143" s="640"/>
      <c r="N143" s="530"/>
      <c r="P143" s="531"/>
      <c r="R143" s="186"/>
    </row>
    <row r="144" spans="1:18" s="134" customFormat="1" ht="13.5" customHeight="1">
      <c r="A144" s="181"/>
      <c r="B144" s="182"/>
      <c r="C144" s="183"/>
      <c r="D144" s="185" t="s">
        <v>179</v>
      </c>
      <c r="E144" s="136"/>
      <c r="F144" s="137"/>
      <c r="G144" s="138"/>
      <c r="H144" s="138"/>
      <c r="I144" s="188"/>
      <c r="J144" s="100"/>
      <c r="K144" s="640"/>
      <c r="N144" s="530"/>
      <c r="P144" s="531"/>
      <c r="R144" s="186"/>
    </row>
    <row r="145" spans="1:18" s="134" customFormat="1" ht="13.5" customHeight="1">
      <c r="A145" s="181"/>
      <c r="B145" s="182"/>
      <c r="C145" s="183"/>
      <c r="D145" s="185" t="s">
        <v>180</v>
      </c>
      <c r="E145" s="136"/>
      <c r="F145" s="137"/>
      <c r="G145" s="138"/>
      <c r="H145" s="138"/>
      <c r="I145" s="188"/>
      <c r="J145" s="100"/>
      <c r="K145" s="640"/>
      <c r="N145" s="530"/>
      <c r="P145" s="531"/>
      <c r="R145" s="186"/>
    </row>
    <row r="146" spans="1:18" s="134" customFormat="1" ht="13.5" customHeight="1">
      <c r="A146" s="181"/>
      <c r="B146" s="182"/>
      <c r="C146" s="183"/>
      <c r="D146" s="185" t="s">
        <v>181</v>
      </c>
      <c r="E146" s="136"/>
      <c r="F146" s="137"/>
      <c r="G146" s="138"/>
      <c r="H146" s="138"/>
      <c r="I146" s="188"/>
      <c r="J146" s="100"/>
      <c r="K146" s="640"/>
      <c r="N146" s="530"/>
      <c r="P146" s="531"/>
      <c r="R146" s="186"/>
    </row>
    <row r="147" spans="1:18" s="134" customFormat="1" ht="13.5" customHeight="1">
      <c r="A147" s="181"/>
      <c r="B147" s="182"/>
      <c r="C147" s="183"/>
      <c r="D147" s="185" t="s">
        <v>182</v>
      </c>
      <c r="E147" s="136"/>
      <c r="F147" s="137"/>
      <c r="G147" s="138"/>
      <c r="H147" s="138"/>
      <c r="I147" s="188"/>
      <c r="J147" s="100"/>
      <c r="K147" s="640"/>
      <c r="N147" s="530"/>
      <c r="P147" s="531"/>
      <c r="R147" s="186"/>
    </row>
    <row r="148" spans="1:18" s="134" customFormat="1" ht="13.5" customHeight="1">
      <c r="A148" s="181"/>
      <c r="B148" s="182"/>
      <c r="C148" s="183"/>
      <c r="D148" s="185" t="s">
        <v>183</v>
      </c>
      <c r="E148" s="136"/>
      <c r="F148" s="137"/>
      <c r="G148" s="138"/>
      <c r="H148" s="138"/>
      <c r="I148" s="188"/>
      <c r="J148" s="100"/>
      <c r="K148" s="640"/>
      <c r="N148" s="530"/>
      <c r="P148" s="531"/>
      <c r="R148" s="186"/>
    </row>
    <row r="149" spans="1:18" s="186" customFormat="1" ht="13.5" customHeight="1">
      <c r="A149" s="135"/>
      <c r="B149" s="189"/>
      <c r="C149" s="189"/>
      <c r="D149" s="185" t="s">
        <v>184</v>
      </c>
      <c r="E149" s="189"/>
      <c r="F149" s="390"/>
      <c r="G149" s="190"/>
      <c r="H149" s="138"/>
      <c r="I149" s="188"/>
      <c r="J149" s="100"/>
    </row>
    <row r="150" spans="1:18" s="100" customFormat="1" ht="13.5" customHeight="1">
      <c r="A150" s="96">
        <v>21</v>
      </c>
      <c r="B150" s="105" t="s">
        <v>176</v>
      </c>
      <c r="C150" s="97" t="s">
        <v>185</v>
      </c>
      <c r="D150" s="97" t="s">
        <v>186</v>
      </c>
      <c r="E150" s="97" t="s">
        <v>48</v>
      </c>
      <c r="F150" s="98">
        <f>F152</f>
        <v>1540.12</v>
      </c>
      <c r="G150" s="106">
        <v>86.8</v>
      </c>
      <c r="H150" s="133">
        <f>F150*G150</f>
        <v>133682.416</v>
      </c>
      <c r="I150" s="99" t="s">
        <v>49</v>
      </c>
      <c r="K150" s="543"/>
      <c r="L150" s="545"/>
      <c r="M150" s="111"/>
      <c r="N150" s="544"/>
    </row>
    <row r="151" spans="1:18" s="145" customFormat="1" ht="13.5" customHeight="1">
      <c r="A151" s="140"/>
      <c r="B151" s="141"/>
      <c r="C151" s="141"/>
      <c r="D151" s="101" t="s">
        <v>187</v>
      </c>
      <c r="E151" s="141"/>
      <c r="F151" s="161"/>
      <c r="G151" s="143"/>
      <c r="H151" s="143"/>
      <c r="I151" s="159"/>
      <c r="K151" s="543"/>
      <c r="L151" s="545"/>
      <c r="M151" s="111"/>
      <c r="N151" s="544"/>
    </row>
    <row r="152" spans="1:18" s="145" customFormat="1" ht="13.5" customHeight="1">
      <c r="A152" s="140"/>
      <c r="B152" s="141"/>
      <c r="C152" s="141"/>
      <c r="D152" s="101" t="s">
        <v>587</v>
      </c>
      <c r="E152" s="141"/>
      <c r="F152" s="113">
        <f>470.57+1069.55</f>
        <v>1540.12</v>
      </c>
      <c r="G152" s="143"/>
      <c r="H152" s="143"/>
      <c r="I152" s="159"/>
      <c r="K152" s="543"/>
      <c r="L152" s="545"/>
      <c r="M152" s="111"/>
      <c r="N152" s="544"/>
    </row>
    <row r="153" spans="1:18" s="100" customFormat="1" ht="13.5" customHeight="1">
      <c r="A153" s="96">
        <v>22</v>
      </c>
      <c r="B153" s="105" t="s">
        <v>114</v>
      </c>
      <c r="C153" s="97" t="s">
        <v>188</v>
      </c>
      <c r="D153" s="97" t="s">
        <v>189</v>
      </c>
      <c r="E153" s="97" t="s">
        <v>48</v>
      </c>
      <c r="F153" s="98">
        <f>F154</f>
        <v>1540.12</v>
      </c>
      <c r="G153" s="106">
        <v>167</v>
      </c>
      <c r="H153" s="133">
        <f>F153*G153</f>
        <v>257200.03999999998</v>
      </c>
      <c r="I153" s="99" t="s">
        <v>49</v>
      </c>
      <c r="K153" s="543"/>
      <c r="L153" s="545"/>
      <c r="M153" s="111"/>
      <c r="N153" s="544"/>
    </row>
    <row r="154" spans="1:18" s="145" customFormat="1" ht="13.5" customHeight="1">
      <c r="A154" s="140"/>
      <c r="B154" s="141"/>
      <c r="C154" s="141"/>
      <c r="D154" s="101" t="s">
        <v>587</v>
      </c>
      <c r="E154" s="141"/>
      <c r="F154" s="113">
        <f>470.57+1069.55</f>
        <v>1540.12</v>
      </c>
      <c r="G154" s="143"/>
      <c r="H154" s="143"/>
      <c r="I154" s="159"/>
      <c r="K154" s="543"/>
      <c r="L154" s="545"/>
      <c r="M154" s="111"/>
      <c r="N154" s="544"/>
    </row>
    <row r="155" spans="1:18" s="100" customFormat="1" ht="13.5" customHeight="1">
      <c r="A155" s="146"/>
      <c r="B155" s="147"/>
      <c r="C155" s="147" t="s">
        <v>52</v>
      </c>
      <c r="D155" s="147" t="s">
        <v>53</v>
      </c>
      <c r="E155" s="147"/>
      <c r="F155" s="191"/>
      <c r="G155" s="149"/>
      <c r="H155" s="149">
        <f>SUM(H156:H158)</f>
        <v>1000000</v>
      </c>
      <c r="I155" s="109"/>
      <c r="K155" s="544"/>
      <c r="L155" s="545"/>
      <c r="M155" s="111"/>
      <c r="N155" s="544"/>
      <c r="Q155" s="561"/>
    </row>
    <row r="156" spans="1:18" s="100" customFormat="1" ht="13.5" customHeight="1">
      <c r="A156" s="192">
        <v>23</v>
      </c>
      <c r="B156" s="105" t="s">
        <v>114</v>
      </c>
      <c r="C156" s="97" t="s">
        <v>83</v>
      </c>
      <c r="D156" s="97" t="s">
        <v>190</v>
      </c>
      <c r="E156" s="193" t="s">
        <v>23</v>
      </c>
      <c r="F156" s="194">
        <f>SUM(F157)</f>
        <v>1</v>
      </c>
      <c r="G156" s="106">
        <v>1000000</v>
      </c>
      <c r="H156" s="133">
        <f>F156*G156</f>
        <v>1000000</v>
      </c>
      <c r="I156" s="99" t="s">
        <v>58</v>
      </c>
      <c r="J156" s="562"/>
      <c r="K156" s="544"/>
      <c r="L156" s="545"/>
      <c r="M156" s="111"/>
      <c r="N156" s="544"/>
      <c r="Q156" s="561"/>
    </row>
    <row r="157" spans="1:18" s="100" customFormat="1" ht="13.5" customHeight="1">
      <c r="A157" s="192"/>
      <c r="B157" s="105"/>
      <c r="C157" s="97"/>
      <c r="D157" s="101" t="s">
        <v>191</v>
      </c>
      <c r="E157" s="193"/>
      <c r="F157" s="162">
        <v>1</v>
      </c>
      <c r="G157" s="106"/>
      <c r="H157" s="381"/>
      <c r="I157" s="99"/>
      <c r="K157" s="544"/>
      <c r="L157" s="545"/>
      <c r="M157" s="111"/>
      <c r="N157" s="544"/>
    </row>
    <row r="158" spans="1:18" s="100" customFormat="1" ht="148.5" customHeight="1">
      <c r="A158" s="192"/>
      <c r="B158" s="105"/>
      <c r="C158" s="97"/>
      <c r="D158" s="195" t="s">
        <v>378</v>
      </c>
      <c r="E158" s="193"/>
      <c r="F158" s="162"/>
      <c r="G158" s="106"/>
      <c r="H158" s="381"/>
      <c r="I158" s="99"/>
      <c r="J158" s="624"/>
      <c r="K158" s="544"/>
      <c r="L158" s="545"/>
      <c r="M158" s="111"/>
      <c r="N158" s="544"/>
    </row>
    <row r="159" spans="1:18" s="134" customFormat="1" ht="21" customHeight="1">
      <c r="A159" s="198"/>
      <c r="B159" s="199"/>
      <c r="C159" s="199" t="s">
        <v>55</v>
      </c>
      <c r="D159" s="199" t="s">
        <v>56</v>
      </c>
      <c r="E159" s="199"/>
      <c r="F159" s="200"/>
      <c r="G159" s="201"/>
      <c r="H159" s="201">
        <f>H160+H172+H189+H223+H229+H235+H241+H247+H256+H292+H311+H344+H361+H376+H391+H405+H420+H434</f>
        <v>21507440.530000001</v>
      </c>
      <c r="I159" s="202"/>
      <c r="J159" s="563"/>
      <c r="K159" s="533"/>
      <c r="N159" s="530"/>
    </row>
    <row r="160" spans="1:18" s="100" customFormat="1" ht="13.5" customHeight="1">
      <c r="A160" s="146"/>
      <c r="B160" s="147"/>
      <c r="C160" s="147" t="s">
        <v>192</v>
      </c>
      <c r="D160" s="147" t="s">
        <v>88</v>
      </c>
      <c r="E160" s="147"/>
      <c r="F160" s="148"/>
      <c r="G160" s="149"/>
      <c r="H160" s="382">
        <f>SUM(H161:H171)</f>
        <v>269280</v>
      </c>
      <c r="I160" s="109"/>
      <c r="J160" s="564"/>
    </row>
    <row r="161" spans="1:18" s="100" customFormat="1" ht="13.5" customHeight="1">
      <c r="A161" s="165">
        <v>24</v>
      </c>
      <c r="B161" s="97">
        <v>711</v>
      </c>
      <c r="C161" s="97" t="s">
        <v>193</v>
      </c>
      <c r="D161" s="97" t="s">
        <v>547</v>
      </c>
      <c r="E161" s="97" t="s">
        <v>23</v>
      </c>
      <c r="F161" s="98">
        <f>SUM(F162:F162)</f>
        <v>1</v>
      </c>
      <c r="G161" s="98">
        <v>260000</v>
      </c>
      <c r="H161" s="133">
        <f>F161*G161</f>
        <v>260000</v>
      </c>
      <c r="I161" s="99" t="s">
        <v>49</v>
      </c>
      <c r="J161" s="565"/>
    </row>
    <row r="162" spans="1:18" s="186" customFormat="1" ht="13.5" customHeight="1">
      <c r="A162" s="135"/>
      <c r="B162" s="189"/>
      <c r="C162" s="189"/>
      <c r="D162" s="185" t="s">
        <v>496</v>
      </c>
      <c r="E162" s="189"/>
      <c r="F162" s="113">
        <v>1</v>
      </c>
      <c r="G162" s="190"/>
      <c r="H162" s="138"/>
      <c r="I162" s="188"/>
      <c r="J162" s="532"/>
      <c r="K162" s="533"/>
      <c r="N162" s="530"/>
      <c r="R162" s="134"/>
    </row>
    <row r="163" spans="1:18" s="186" customFormat="1" ht="13.5" customHeight="1">
      <c r="A163" s="135"/>
      <c r="B163" s="189"/>
      <c r="C163" s="189"/>
      <c r="D163" s="185" t="s">
        <v>80</v>
      </c>
      <c r="E163" s="189"/>
      <c r="F163" s="187"/>
      <c r="G163" s="190"/>
      <c r="H163" s="138"/>
      <c r="I163" s="188"/>
      <c r="J163" s="532"/>
      <c r="K163" s="533"/>
      <c r="N163" s="530"/>
      <c r="R163" s="134"/>
    </row>
    <row r="164" spans="1:18" s="134" customFormat="1" ht="13.5" customHeight="1">
      <c r="A164" s="135"/>
      <c r="B164" s="136"/>
      <c r="C164" s="136"/>
      <c r="D164" s="185" t="s">
        <v>196</v>
      </c>
      <c r="E164" s="136"/>
      <c r="F164" s="184"/>
      <c r="G164" s="138"/>
      <c r="H164" s="138"/>
      <c r="I164" s="188"/>
      <c r="J164" s="566"/>
      <c r="K164" s="533"/>
      <c r="L164" s="186"/>
      <c r="N164" s="530"/>
    </row>
    <row r="165" spans="1:18" s="134" customFormat="1" ht="13.5" customHeight="1">
      <c r="A165" s="135"/>
      <c r="B165" s="136"/>
      <c r="C165" s="136"/>
      <c r="D165" s="185" t="s">
        <v>197</v>
      </c>
      <c r="E165" s="136"/>
      <c r="F165" s="184"/>
      <c r="G165" s="138"/>
      <c r="H165" s="138"/>
      <c r="I165" s="188"/>
      <c r="J165" s="567"/>
      <c r="K165" s="533"/>
      <c r="N165" s="530"/>
      <c r="O165" s="186"/>
    </row>
    <row r="166" spans="1:18" s="134" customFormat="1" ht="27" customHeight="1">
      <c r="A166" s="135"/>
      <c r="B166" s="136"/>
      <c r="C166" s="136"/>
      <c r="D166" s="185" t="s">
        <v>198</v>
      </c>
      <c r="E166" s="136"/>
      <c r="F166" s="184"/>
      <c r="G166" s="138"/>
      <c r="H166" s="138"/>
      <c r="I166" s="188"/>
      <c r="J166" s="112"/>
      <c r="K166" s="533"/>
      <c r="L166" s="186"/>
      <c r="N166" s="530"/>
    </row>
    <row r="167" spans="1:18" s="186" customFormat="1" ht="13.5" customHeight="1">
      <c r="A167" s="135"/>
      <c r="B167" s="189"/>
      <c r="C167" s="189"/>
      <c r="D167" s="185" t="s">
        <v>82</v>
      </c>
      <c r="E167" s="189"/>
      <c r="F167" s="137"/>
      <c r="G167" s="190"/>
      <c r="H167" s="138"/>
      <c r="I167" s="188"/>
      <c r="J167" s="134"/>
      <c r="K167" s="533"/>
      <c r="N167" s="530"/>
      <c r="R167" s="134"/>
    </row>
    <row r="168" spans="1:18" s="100" customFormat="1" ht="13.5" customHeight="1">
      <c r="A168" s="146"/>
      <c r="B168" s="147"/>
      <c r="C168" s="147"/>
      <c r="D168" s="185" t="s">
        <v>199</v>
      </c>
      <c r="E168" s="147"/>
      <c r="F168" s="148"/>
      <c r="G168" s="149"/>
      <c r="H168" s="382"/>
      <c r="I168" s="109"/>
    </row>
    <row r="169" spans="1:18" s="100" customFormat="1" ht="13.5" customHeight="1">
      <c r="A169" s="165">
        <v>25</v>
      </c>
      <c r="B169" s="97" t="s">
        <v>54</v>
      </c>
      <c r="C169" s="97" t="s">
        <v>200</v>
      </c>
      <c r="D169" s="97" t="s">
        <v>201</v>
      </c>
      <c r="E169" s="97" t="s">
        <v>44</v>
      </c>
      <c r="F169" s="98">
        <f>F170</f>
        <v>20</v>
      </c>
      <c r="G169" s="98">
        <v>464</v>
      </c>
      <c r="H169" s="133">
        <f>F169*G169</f>
        <v>9280</v>
      </c>
      <c r="I169" s="99" t="s">
        <v>45</v>
      </c>
      <c r="J169" s="568"/>
    </row>
    <row r="170" spans="1:18" s="111" customFormat="1" ht="13.5" customHeight="1">
      <c r="A170" s="165"/>
      <c r="B170" s="105"/>
      <c r="C170" s="97"/>
      <c r="D170" s="101" t="s">
        <v>202</v>
      </c>
      <c r="E170" s="97"/>
      <c r="F170" s="113">
        <v>20</v>
      </c>
      <c r="G170" s="98"/>
      <c r="H170" s="98"/>
      <c r="I170" s="99"/>
    </row>
    <row r="171" spans="1:18" s="111" customFormat="1" ht="27" customHeight="1">
      <c r="A171" s="165"/>
      <c r="B171" s="105"/>
      <c r="C171" s="97"/>
      <c r="D171" s="101" t="s">
        <v>203</v>
      </c>
      <c r="E171" s="97"/>
      <c r="F171" s="113"/>
      <c r="G171" s="98"/>
      <c r="H171" s="98"/>
      <c r="I171" s="99"/>
    </row>
    <row r="172" spans="1:18" s="100" customFormat="1" ht="13.5" customHeight="1">
      <c r="A172" s="146"/>
      <c r="B172" s="147"/>
      <c r="C172" s="147">
        <v>712</v>
      </c>
      <c r="D172" s="147" t="s">
        <v>89</v>
      </c>
      <c r="E172" s="147"/>
      <c r="F172" s="191"/>
      <c r="G172" s="149"/>
      <c r="H172" s="149">
        <f>SUM(H173:H188)</f>
        <v>4538160</v>
      </c>
      <c r="I172" s="109"/>
      <c r="K172" s="569"/>
    </row>
    <row r="173" spans="1:18" s="78" customFormat="1" ht="13.5" customHeight="1">
      <c r="A173" s="203" t="s">
        <v>645</v>
      </c>
      <c r="B173" s="204" t="s">
        <v>204</v>
      </c>
      <c r="C173" s="73" t="s">
        <v>205</v>
      </c>
      <c r="D173" s="73" t="s">
        <v>593</v>
      </c>
      <c r="E173" s="73" t="s">
        <v>48</v>
      </c>
      <c r="F173" s="205">
        <f>SUM(F174:F174)</f>
        <v>944</v>
      </c>
      <c r="G173" s="206">
        <v>4800</v>
      </c>
      <c r="H173" s="133">
        <f>F173*G173</f>
        <v>4531200</v>
      </c>
      <c r="I173" s="196" t="s">
        <v>49</v>
      </c>
      <c r="J173" s="570"/>
    </row>
    <row r="174" spans="1:18" s="78" customFormat="1" ht="13.5" customHeight="1">
      <c r="A174" s="203"/>
      <c r="B174" s="204"/>
      <c r="C174" s="73"/>
      <c r="D174" s="185" t="s">
        <v>594</v>
      </c>
      <c r="E174" s="185"/>
      <c r="F174" s="113">
        <v>944</v>
      </c>
      <c r="G174" s="206"/>
      <c r="H174" s="215"/>
      <c r="I174" s="196"/>
      <c r="J174" s="570"/>
    </row>
    <row r="175" spans="1:18" s="186" customFormat="1" ht="13.5" customHeight="1">
      <c r="A175" s="135"/>
      <c r="B175" s="189"/>
      <c r="C175" s="189"/>
      <c r="D175" s="185" t="s">
        <v>80</v>
      </c>
      <c r="E175" s="189"/>
      <c r="F175" s="187"/>
      <c r="G175" s="190"/>
      <c r="H175" s="138"/>
      <c r="I175" s="196"/>
      <c r="J175" s="571"/>
      <c r="K175" s="533"/>
      <c r="N175" s="530"/>
      <c r="R175" s="134"/>
    </row>
    <row r="176" spans="1:18" s="134" customFormat="1" ht="13.5" customHeight="1">
      <c r="A176" s="135"/>
      <c r="B176" s="136"/>
      <c r="C176" s="136"/>
      <c r="D176" s="185" t="s">
        <v>500</v>
      </c>
      <c r="E176" s="136"/>
      <c r="F176" s="184"/>
      <c r="G176" s="138"/>
      <c r="H176" s="138"/>
      <c r="I176" s="188"/>
      <c r="J176" s="100"/>
      <c r="K176" s="533"/>
      <c r="L176" s="186"/>
      <c r="N176" s="530"/>
    </row>
    <row r="177" spans="1:18" s="134" customFormat="1" ht="13.5" customHeight="1">
      <c r="A177" s="135"/>
      <c r="B177" s="136"/>
      <c r="C177" s="136"/>
      <c r="D177" s="185" t="s">
        <v>207</v>
      </c>
      <c r="E177" s="136"/>
      <c r="F177" s="184"/>
      <c r="G177" s="138"/>
      <c r="H177" s="138"/>
      <c r="I177" s="188"/>
      <c r="J177" s="574"/>
      <c r="K177" s="533"/>
      <c r="L177" s="186"/>
      <c r="N177" s="530"/>
    </row>
    <row r="178" spans="1:18" s="134" customFormat="1" ht="27" customHeight="1">
      <c r="A178" s="135"/>
      <c r="B178" s="136"/>
      <c r="C178" s="136"/>
      <c r="D178" s="185" t="s">
        <v>208</v>
      </c>
      <c r="E178" s="136"/>
      <c r="F178" s="184"/>
      <c r="G178" s="138"/>
      <c r="H178" s="138"/>
      <c r="I178" s="188"/>
      <c r="J178" s="574"/>
      <c r="K178" s="533"/>
      <c r="L178" s="186"/>
      <c r="N178" s="530"/>
    </row>
    <row r="179" spans="1:18" s="134" customFormat="1" ht="13.5" customHeight="1">
      <c r="A179" s="135"/>
      <c r="B179" s="136"/>
      <c r="C179" s="136"/>
      <c r="D179" s="185" t="s">
        <v>209</v>
      </c>
      <c r="E179" s="136"/>
      <c r="F179" s="184"/>
      <c r="G179" s="138"/>
      <c r="H179" s="138"/>
      <c r="I179" s="188"/>
      <c r="J179" s="574"/>
      <c r="K179" s="533"/>
      <c r="L179" s="186"/>
      <c r="N179" s="530"/>
    </row>
    <row r="180" spans="1:18" s="134" customFormat="1" ht="13.5" customHeight="1">
      <c r="A180" s="135"/>
      <c r="B180" s="136"/>
      <c r="C180" s="136"/>
      <c r="D180" s="185" t="s">
        <v>210</v>
      </c>
      <c r="E180" s="136"/>
      <c r="F180" s="184"/>
      <c r="G180" s="138"/>
      <c r="H180" s="138"/>
      <c r="I180" s="188"/>
      <c r="J180" s="574"/>
      <c r="K180" s="533"/>
      <c r="L180" s="186"/>
      <c r="N180" s="530"/>
    </row>
    <row r="181" spans="1:18" s="134" customFormat="1" ht="13.5" customHeight="1">
      <c r="A181" s="135"/>
      <c r="B181" s="136"/>
      <c r="C181" s="136"/>
      <c r="D181" s="185" t="s">
        <v>197</v>
      </c>
      <c r="E181" s="136"/>
      <c r="F181" s="184"/>
      <c r="G181" s="138"/>
      <c r="H181" s="138"/>
      <c r="I181" s="188"/>
      <c r="K181" s="533"/>
      <c r="N181" s="530"/>
      <c r="O181" s="186"/>
    </row>
    <row r="182" spans="1:18" s="134" customFormat="1" ht="13.5" customHeight="1">
      <c r="A182" s="135"/>
      <c r="B182" s="136"/>
      <c r="C182" s="136"/>
      <c r="D182" s="185" t="s">
        <v>211</v>
      </c>
      <c r="E182" s="136"/>
      <c r="F182" s="184"/>
      <c r="G182" s="138"/>
      <c r="H182" s="138"/>
      <c r="I182" s="188"/>
      <c r="K182" s="533"/>
      <c r="N182" s="530"/>
      <c r="O182" s="186"/>
    </row>
    <row r="183" spans="1:18" s="134" customFormat="1" ht="27" customHeight="1">
      <c r="A183" s="135"/>
      <c r="B183" s="136"/>
      <c r="C183" s="136"/>
      <c r="D183" s="185" t="s">
        <v>212</v>
      </c>
      <c r="E183" s="136"/>
      <c r="F183" s="184"/>
      <c r="G183" s="138"/>
      <c r="H183" s="138"/>
      <c r="I183" s="188"/>
      <c r="J183" s="574"/>
      <c r="K183" s="533"/>
      <c r="L183" s="186"/>
      <c r="N183" s="530"/>
    </row>
    <row r="184" spans="1:18" s="186" customFormat="1" ht="13.5" customHeight="1">
      <c r="A184" s="135"/>
      <c r="B184" s="189"/>
      <c r="C184" s="189"/>
      <c r="D184" s="185" t="s">
        <v>82</v>
      </c>
      <c r="E184" s="189"/>
      <c r="F184" s="137"/>
      <c r="G184" s="190"/>
      <c r="H184" s="138"/>
      <c r="I184" s="188"/>
      <c r="J184" s="134"/>
      <c r="K184" s="533"/>
      <c r="N184" s="530"/>
      <c r="R184" s="134"/>
    </row>
    <row r="185" spans="1:18" s="78" customFormat="1" ht="13.5" customHeight="1">
      <c r="A185" s="208"/>
      <c r="B185" s="209"/>
      <c r="C185" s="209"/>
      <c r="D185" s="185" t="s">
        <v>213</v>
      </c>
      <c r="E185" s="209"/>
      <c r="F185" s="210"/>
      <c r="G185" s="211"/>
      <c r="H185" s="382"/>
      <c r="I185" s="212"/>
    </row>
    <row r="186" spans="1:18" s="216" customFormat="1" ht="13.5" customHeight="1">
      <c r="A186" s="213">
        <v>27</v>
      </c>
      <c r="B186" s="73" t="s">
        <v>54</v>
      </c>
      <c r="C186" s="73" t="s">
        <v>200</v>
      </c>
      <c r="D186" s="73" t="s">
        <v>201</v>
      </c>
      <c r="E186" s="73" t="s">
        <v>44</v>
      </c>
      <c r="F186" s="214">
        <f>F187</f>
        <v>15</v>
      </c>
      <c r="G186" s="215">
        <v>464</v>
      </c>
      <c r="H186" s="133">
        <f>F186*G186</f>
        <v>6960</v>
      </c>
      <c r="I186" s="196" t="s">
        <v>45</v>
      </c>
    </row>
    <row r="187" spans="1:18" s="78" customFormat="1" ht="13.5" customHeight="1">
      <c r="A187" s="217"/>
      <c r="B187" s="218"/>
      <c r="C187" s="218"/>
      <c r="D187" s="76" t="s">
        <v>214</v>
      </c>
      <c r="E187" s="218"/>
      <c r="F187" s="219">
        <v>15</v>
      </c>
      <c r="G187" s="220"/>
      <c r="H187" s="215"/>
      <c r="I187" s="212"/>
    </row>
    <row r="188" spans="1:18" s="78" customFormat="1" ht="13.5" customHeight="1">
      <c r="A188" s="217"/>
      <c r="B188" s="218"/>
      <c r="C188" s="218"/>
      <c r="D188" s="76" t="s">
        <v>64</v>
      </c>
      <c r="E188" s="218"/>
      <c r="F188" s="219"/>
      <c r="G188" s="220"/>
      <c r="H188" s="215"/>
      <c r="I188" s="212"/>
    </row>
    <row r="189" spans="1:18" s="100" customFormat="1" ht="13.5" customHeight="1">
      <c r="A189" s="146"/>
      <c r="B189" s="147"/>
      <c r="C189" s="147">
        <v>713</v>
      </c>
      <c r="D189" s="147" t="s">
        <v>90</v>
      </c>
      <c r="E189" s="147"/>
      <c r="F189" s="191"/>
      <c r="G189" s="149"/>
      <c r="H189" s="149">
        <f>SUM(H190:H222)</f>
        <v>1998326</v>
      </c>
      <c r="I189" s="109"/>
      <c r="J189" s="576"/>
    </row>
    <row r="190" spans="1:18" s="221" customFormat="1" ht="13.5" customHeight="1">
      <c r="A190" s="213">
        <v>28</v>
      </c>
      <c r="B190" s="73">
        <v>713</v>
      </c>
      <c r="C190" s="73" t="s">
        <v>215</v>
      </c>
      <c r="D190" s="73" t="s">
        <v>216</v>
      </c>
      <c r="E190" s="73" t="s">
        <v>48</v>
      </c>
      <c r="F190" s="205">
        <f>F191</f>
        <v>743.4</v>
      </c>
      <c r="G190" s="206">
        <v>2230</v>
      </c>
      <c r="H190" s="133">
        <f>F190*G190</f>
        <v>1657782</v>
      </c>
      <c r="I190" s="196" t="s">
        <v>49</v>
      </c>
      <c r="J190" s="100"/>
      <c r="K190" s="538"/>
      <c r="L190" s="577"/>
      <c r="M190" s="537"/>
      <c r="N190" s="539"/>
      <c r="O190" s="557"/>
      <c r="P190" s="557"/>
    </row>
    <row r="191" spans="1:18" s="221" customFormat="1" ht="13.5" customHeight="1">
      <c r="A191" s="213"/>
      <c r="B191" s="73"/>
      <c r="C191" s="73"/>
      <c r="D191" s="76" t="s">
        <v>522</v>
      </c>
      <c r="E191" s="73"/>
      <c r="F191" s="113">
        <f>(16*2+43*2)*6.3</f>
        <v>743.4</v>
      </c>
      <c r="G191" s="206"/>
      <c r="H191" s="215"/>
      <c r="I191" s="196"/>
      <c r="J191" s="100"/>
      <c r="K191" s="538"/>
      <c r="L191" s="577"/>
      <c r="M191" s="537"/>
      <c r="N191" s="111"/>
      <c r="O191" s="578"/>
      <c r="P191" s="92"/>
    </row>
    <row r="192" spans="1:18" s="78" customFormat="1" ht="13.5" customHeight="1">
      <c r="A192" s="217"/>
      <c r="B192" s="218"/>
      <c r="C192" s="218"/>
      <c r="D192" s="76" t="s">
        <v>80</v>
      </c>
      <c r="E192" s="218"/>
      <c r="F192" s="205"/>
      <c r="G192" s="220"/>
      <c r="H192" s="215"/>
      <c r="I192" s="196"/>
      <c r="J192" s="100"/>
      <c r="K192" s="538"/>
      <c r="L192" s="538"/>
      <c r="M192" s="537"/>
      <c r="N192" s="539"/>
      <c r="O192" s="92"/>
      <c r="P192" s="92"/>
    </row>
    <row r="193" spans="1:18" s="216" customFormat="1" ht="13.5" customHeight="1">
      <c r="A193" s="222"/>
      <c r="B193" s="204"/>
      <c r="C193" s="73"/>
      <c r="D193" s="76" t="s">
        <v>217</v>
      </c>
      <c r="E193" s="77"/>
      <c r="F193" s="77"/>
      <c r="G193" s="223"/>
      <c r="H193" s="223"/>
      <c r="I193" s="196"/>
      <c r="J193" s="100"/>
      <c r="K193" s="538"/>
      <c r="L193" s="538"/>
      <c r="M193" s="537"/>
      <c r="N193" s="111"/>
      <c r="O193" s="112"/>
      <c r="P193" s="112"/>
    </row>
    <row r="194" spans="1:18" s="216" customFormat="1" ht="13.5" customHeight="1">
      <c r="A194" s="222"/>
      <c r="B194" s="204"/>
      <c r="C194" s="73"/>
      <c r="D194" s="76" t="s">
        <v>218</v>
      </c>
      <c r="E194" s="77"/>
      <c r="F194" s="77"/>
      <c r="G194" s="223"/>
      <c r="H194" s="223"/>
      <c r="I194" s="196"/>
      <c r="J194" s="100"/>
      <c r="K194" s="538"/>
      <c r="L194" s="577"/>
      <c r="M194" s="537"/>
      <c r="N194" s="111"/>
      <c r="O194" s="112"/>
      <c r="P194" s="112"/>
    </row>
    <row r="195" spans="1:18" s="216" customFormat="1" ht="13.5" customHeight="1">
      <c r="A195" s="222"/>
      <c r="B195" s="204"/>
      <c r="C195" s="73"/>
      <c r="D195" s="76" t="s">
        <v>219</v>
      </c>
      <c r="E195" s="77"/>
      <c r="F195" s="219"/>
      <c r="G195" s="223"/>
      <c r="H195" s="223"/>
      <c r="I195" s="224"/>
      <c r="K195" s="579"/>
    </row>
    <row r="196" spans="1:18" s="216" customFormat="1" ht="13.5" customHeight="1">
      <c r="A196" s="222"/>
      <c r="B196" s="204"/>
      <c r="C196" s="73"/>
      <c r="D196" s="76" t="s">
        <v>220</v>
      </c>
      <c r="E196" s="77"/>
      <c r="F196" s="219"/>
      <c r="G196" s="223"/>
      <c r="H196" s="223"/>
      <c r="I196" s="224"/>
      <c r="K196" s="580"/>
    </row>
    <row r="197" spans="1:18" s="226" customFormat="1" ht="13.5" customHeight="1">
      <c r="A197" s="203"/>
      <c r="B197" s="225"/>
      <c r="C197" s="225"/>
      <c r="D197" s="76" t="s">
        <v>221</v>
      </c>
      <c r="E197" s="225"/>
      <c r="G197" s="227"/>
      <c r="H197" s="215"/>
      <c r="I197" s="196"/>
      <c r="J197" s="78"/>
    </row>
    <row r="198" spans="1:18" s="186" customFormat="1" ht="13.5" customHeight="1">
      <c r="A198" s="135"/>
      <c r="B198" s="189"/>
      <c r="C198" s="189"/>
      <c r="D198" s="185" t="s">
        <v>82</v>
      </c>
      <c r="E198" s="189"/>
      <c r="F198" s="137"/>
      <c r="G198" s="190"/>
      <c r="H198" s="138"/>
      <c r="I198" s="188"/>
      <c r="J198" s="134"/>
      <c r="K198" s="533"/>
      <c r="N198" s="530"/>
      <c r="R198" s="134"/>
    </row>
    <row r="199" spans="1:18" s="78" customFormat="1" ht="13.5" customHeight="1">
      <c r="A199" s="208"/>
      <c r="B199" s="209"/>
      <c r="C199" s="209"/>
      <c r="D199" s="185" t="s">
        <v>222</v>
      </c>
      <c r="E199" s="209"/>
      <c r="F199" s="210"/>
      <c r="G199" s="211"/>
      <c r="H199" s="382"/>
      <c r="I199" s="212"/>
    </row>
    <row r="200" spans="1:18" s="78" customFormat="1" ht="13.5" customHeight="1">
      <c r="A200" s="213">
        <v>29</v>
      </c>
      <c r="B200" s="73">
        <v>713</v>
      </c>
      <c r="C200" s="73" t="s">
        <v>223</v>
      </c>
      <c r="D200" s="73" t="s">
        <v>224</v>
      </c>
      <c r="E200" s="73" t="s">
        <v>48</v>
      </c>
      <c r="F200" s="205">
        <f>F201</f>
        <v>35.4</v>
      </c>
      <c r="G200" s="206">
        <v>2460</v>
      </c>
      <c r="H200" s="133">
        <f>F200*G200</f>
        <v>87084</v>
      </c>
      <c r="I200" s="196" t="s">
        <v>49</v>
      </c>
      <c r="J200" s="581"/>
    </row>
    <row r="201" spans="1:18" s="221" customFormat="1" ht="13.5" customHeight="1">
      <c r="A201" s="213"/>
      <c r="B201" s="73"/>
      <c r="C201" s="73"/>
      <c r="D201" s="76" t="s">
        <v>523</v>
      </c>
      <c r="E201" s="73"/>
      <c r="F201" s="113">
        <f>(16*2+43*2)*0.3</f>
        <v>35.4</v>
      </c>
      <c r="G201" s="206"/>
      <c r="H201" s="215"/>
      <c r="I201" s="196"/>
      <c r="J201" s="581"/>
    </row>
    <row r="202" spans="1:18" s="78" customFormat="1" ht="13.5" customHeight="1">
      <c r="A202" s="217"/>
      <c r="B202" s="218"/>
      <c r="C202" s="218"/>
      <c r="D202" s="76" t="s">
        <v>80</v>
      </c>
      <c r="E202" s="218"/>
      <c r="F202" s="205"/>
      <c r="G202" s="220"/>
      <c r="H202" s="215"/>
      <c r="I202" s="196"/>
      <c r="J202" s="582"/>
    </row>
    <row r="203" spans="1:18" s="216" customFormat="1" ht="13.5" customHeight="1">
      <c r="A203" s="222"/>
      <c r="B203" s="204"/>
      <c r="C203" s="73"/>
      <c r="D203" s="76" t="s">
        <v>217</v>
      </c>
      <c r="E203" s="77"/>
      <c r="F203" s="77"/>
      <c r="G203" s="223"/>
      <c r="H203" s="223"/>
      <c r="I203" s="196"/>
      <c r="J203" s="583"/>
      <c r="K203" s="579"/>
    </row>
    <row r="204" spans="1:18" s="78" customFormat="1" ht="13.5" customHeight="1">
      <c r="A204" s="222"/>
      <c r="B204" s="204"/>
      <c r="C204" s="73"/>
      <c r="D204" s="76" t="s">
        <v>225</v>
      </c>
      <c r="E204" s="77"/>
      <c r="F204" s="205"/>
      <c r="G204" s="223"/>
      <c r="H204" s="223"/>
      <c r="I204" s="196"/>
      <c r="J204" s="583"/>
    </row>
    <row r="205" spans="1:18" s="78" customFormat="1" ht="13.5" customHeight="1">
      <c r="A205" s="222"/>
      <c r="B205" s="204"/>
      <c r="C205" s="73"/>
      <c r="D205" s="76" t="s">
        <v>219</v>
      </c>
      <c r="E205" s="77"/>
      <c r="F205" s="219"/>
      <c r="G205" s="223"/>
      <c r="H205" s="223"/>
      <c r="I205" s="224"/>
      <c r="J205" s="583"/>
    </row>
    <row r="206" spans="1:18" s="78" customFormat="1" ht="13.5" customHeight="1">
      <c r="A206" s="222"/>
      <c r="B206" s="204"/>
      <c r="C206" s="73"/>
      <c r="D206" s="76" t="s">
        <v>220</v>
      </c>
      <c r="E206" s="77"/>
      <c r="F206" s="219"/>
      <c r="G206" s="223"/>
      <c r="H206" s="223"/>
      <c r="I206" s="224"/>
    </row>
    <row r="207" spans="1:18" s="78" customFormat="1" ht="13.5" customHeight="1">
      <c r="A207" s="203"/>
      <c r="B207" s="225"/>
      <c r="C207" s="225"/>
      <c r="D207" s="76" t="s">
        <v>226</v>
      </c>
      <c r="E207" s="225"/>
      <c r="F207" s="226"/>
      <c r="G207" s="227"/>
      <c r="H207" s="215"/>
      <c r="I207" s="196"/>
    </row>
    <row r="208" spans="1:18" s="78" customFormat="1" ht="13.5" customHeight="1">
      <c r="A208" s="135"/>
      <c r="B208" s="189"/>
      <c r="C208" s="189"/>
      <c r="D208" s="185" t="s">
        <v>82</v>
      </c>
      <c r="E208" s="189"/>
      <c r="F208" s="137"/>
      <c r="G208" s="190"/>
      <c r="H208" s="138"/>
      <c r="I208" s="188"/>
    </row>
    <row r="209" spans="1:11" s="78" customFormat="1" ht="13.5" customHeight="1">
      <c r="A209" s="208"/>
      <c r="B209" s="209"/>
      <c r="C209" s="209"/>
      <c r="D209" s="185" t="s">
        <v>222</v>
      </c>
      <c r="E209" s="209"/>
      <c r="F209" s="210"/>
      <c r="G209" s="211"/>
      <c r="H209" s="382"/>
      <c r="I209" s="212"/>
    </row>
    <row r="210" spans="1:11" s="78" customFormat="1" ht="13.5" customHeight="1">
      <c r="A210" s="208"/>
      <c r="B210" s="209"/>
      <c r="C210" s="209"/>
      <c r="D210" s="185" t="s">
        <v>227</v>
      </c>
      <c r="E210" s="209"/>
      <c r="F210" s="210"/>
      <c r="G210" s="211"/>
      <c r="H210" s="382"/>
      <c r="I210" s="212"/>
    </row>
    <row r="211" spans="1:11" s="78" customFormat="1" ht="13.5" customHeight="1">
      <c r="A211" s="213">
        <v>30</v>
      </c>
      <c r="B211" s="73">
        <v>713</v>
      </c>
      <c r="C211" s="73" t="s">
        <v>228</v>
      </c>
      <c r="D211" s="73" t="s">
        <v>229</v>
      </c>
      <c r="E211" s="73" t="s">
        <v>48</v>
      </c>
      <c r="F211" s="205">
        <f>F212</f>
        <v>118</v>
      </c>
      <c r="G211" s="206">
        <v>2030</v>
      </c>
      <c r="H211" s="133">
        <f>F211*G211</f>
        <v>239540</v>
      </c>
      <c r="I211" s="196" t="s">
        <v>49</v>
      </c>
      <c r="J211" s="581"/>
    </row>
    <row r="212" spans="1:11" s="221" customFormat="1" ht="13.5" customHeight="1">
      <c r="A212" s="213"/>
      <c r="B212" s="73"/>
      <c r="C212" s="73"/>
      <c r="D212" s="76" t="s">
        <v>524</v>
      </c>
      <c r="E212" s="73"/>
      <c r="F212" s="113">
        <f>(16*2+43*2)*1</f>
        <v>118</v>
      </c>
      <c r="G212" s="206"/>
      <c r="H212" s="215"/>
      <c r="I212" s="196"/>
      <c r="J212" s="581"/>
    </row>
    <row r="213" spans="1:11" s="78" customFormat="1" ht="13.5" customHeight="1">
      <c r="A213" s="217"/>
      <c r="B213" s="218"/>
      <c r="C213" s="218"/>
      <c r="D213" s="76" t="s">
        <v>80</v>
      </c>
      <c r="E213" s="218"/>
      <c r="F213" s="205"/>
      <c r="G213" s="220"/>
      <c r="H213" s="215"/>
      <c r="I213" s="196"/>
      <c r="J213" s="582"/>
    </row>
    <row r="214" spans="1:11" s="78" customFormat="1" ht="13.5" customHeight="1">
      <c r="A214" s="217"/>
      <c r="B214" s="218"/>
      <c r="C214" s="218"/>
      <c r="D214" s="76" t="s">
        <v>164</v>
      </c>
      <c r="E214" s="218"/>
      <c r="F214" s="205"/>
      <c r="G214" s="220"/>
      <c r="H214" s="215"/>
      <c r="I214" s="212"/>
      <c r="J214" s="583"/>
    </row>
    <row r="215" spans="1:11" s="78" customFormat="1" ht="13.5" customHeight="1">
      <c r="A215" s="217"/>
      <c r="B215" s="218"/>
      <c r="C215" s="218"/>
      <c r="D215" s="76" t="s">
        <v>230</v>
      </c>
      <c r="E215" s="218"/>
      <c r="F215" s="205"/>
      <c r="G215" s="220"/>
      <c r="H215" s="215"/>
      <c r="I215" s="212"/>
      <c r="J215" s="583"/>
    </row>
    <row r="216" spans="1:11" s="78" customFormat="1" ht="13.5" customHeight="1">
      <c r="A216" s="222"/>
      <c r="B216" s="204"/>
      <c r="C216" s="73"/>
      <c r="D216" s="76" t="s">
        <v>226</v>
      </c>
      <c r="E216" s="77"/>
      <c r="F216" s="205"/>
      <c r="G216" s="223"/>
      <c r="H216" s="223"/>
      <c r="I216" s="196"/>
    </row>
    <row r="217" spans="1:11" s="78" customFormat="1" ht="13.5" customHeight="1">
      <c r="A217" s="135"/>
      <c r="B217" s="189"/>
      <c r="C217" s="189"/>
      <c r="D217" s="185" t="s">
        <v>82</v>
      </c>
      <c r="E217" s="189"/>
      <c r="F217" s="137"/>
      <c r="G217" s="190"/>
      <c r="H217" s="138"/>
      <c r="I217" s="188"/>
    </row>
    <row r="218" spans="1:11" s="78" customFormat="1" ht="13.5" customHeight="1">
      <c r="A218" s="208"/>
      <c r="B218" s="209"/>
      <c r="C218" s="209"/>
      <c r="D218" s="185" t="s">
        <v>222</v>
      </c>
      <c r="E218" s="209"/>
      <c r="F218" s="210"/>
      <c r="G218" s="211"/>
      <c r="H218" s="382"/>
      <c r="I218" s="212"/>
    </row>
    <row r="219" spans="1:11" s="78" customFormat="1" ht="13.5" customHeight="1">
      <c r="A219" s="208"/>
      <c r="B219" s="209"/>
      <c r="C219" s="209"/>
      <c r="D219" s="185" t="s">
        <v>227</v>
      </c>
      <c r="E219" s="209"/>
      <c r="F219" s="210"/>
      <c r="G219" s="211"/>
      <c r="H219" s="382"/>
      <c r="I219" s="212"/>
    </row>
    <row r="220" spans="1:11" s="216" customFormat="1" ht="13.5" customHeight="1">
      <c r="A220" s="213">
        <v>31</v>
      </c>
      <c r="B220" s="73" t="s">
        <v>54</v>
      </c>
      <c r="C220" s="73" t="s">
        <v>200</v>
      </c>
      <c r="D220" s="73" t="s">
        <v>201</v>
      </c>
      <c r="E220" s="73" t="s">
        <v>44</v>
      </c>
      <c r="F220" s="214">
        <f>F221</f>
        <v>30</v>
      </c>
      <c r="G220" s="215">
        <v>464</v>
      </c>
      <c r="H220" s="133">
        <f>F220*G220</f>
        <v>13920</v>
      </c>
      <c r="I220" s="196" t="s">
        <v>45</v>
      </c>
    </row>
    <row r="221" spans="1:11" s="78" customFormat="1" ht="13.5" customHeight="1">
      <c r="A221" s="217"/>
      <c r="B221" s="218"/>
      <c r="C221" s="218"/>
      <c r="D221" s="76" t="s">
        <v>231</v>
      </c>
      <c r="E221" s="218"/>
      <c r="F221" s="219">
        <v>30</v>
      </c>
      <c r="G221" s="220"/>
      <c r="H221" s="215"/>
      <c r="I221" s="212"/>
    </row>
    <row r="222" spans="1:11" s="78" customFormat="1" ht="13.5" customHeight="1">
      <c r="A222" s="217"/>
      <c r="B222" s="218"/>
      <c r="C222" s="218"/>
      <c r="D222" s="76" t="s">
        <v>64</v>
      </c>
      <c r="E222" s="218"/>
      <c r="F222" s="219"/>
      <c r="G222" s="220"/>
      <c r="H222" s="215"/>
      <c r="I222" s="212"/>
    </row>
    <row r="223" spans="1:11" s="100" customFormat="1" ht="13.5" customHeight="1">
      <c r="A223" s="228"/>
      <c r="B223" s="147"/>
      <c r="C223" s="147">
        <v>720</v>
      </c>
      <c r="D223" s="147" t="s">
        <v>550</v>
      </c>
      <c r="E223" s="147"/>
      <c r="F223" s="191"/>
      <c r="G223" s="148"/>
      <c r="H223" s="148">
        <f>SUM(H224:H228)</f>
        <v>920000</v>
      </c>
      <c r="I223" s="148"/>
      <c r="K223" s="584"/>
    </row>
    <row r="224" spans="1:11" s="100" customFormat="1" ht="13.5" customHeight="1">
      <c r="A224" s="165">
        <v>32</v>
      </c>
      <c r="B224" s="97" t="s">
        <v>59</v>
      </c>
      <c r="C224" s="97" t="s">
        <v>650</v>
      </c>
      <c r="D224" s="97" t="s">
        <v>595</v>
      </c>
      <c r="E224" s="97" t="s">
        <v>23</v>
      </c>
      <c r="F224" s="175">
        <f>F226</f>
        <v>1</v>
      </c>
      <c r="G224" s="98">
        <v>920000</v>
      </c>
      <c r="H224" s="138">
        <f>F224*G224</f>
        <v>920000</v>
      </c>
      <c r="I224" s="196" t="s">
        <v>49</v>
      </c>
      <c r="K224" s="584"/>
    </row>
    <row r="225" spans="1:12" s="100" customFormat="1" ht="40.5" customHeight="1">
      <c r="A225" s="165"/>
      <c r="B225" s="97"/>
      <c r="C225" s="97"/>
      <c r="D225" s="101" t="s">
        <v>552</v>
      </c>
      <c r="E225" s="97"/>
      <c r="F225" s="286"/>
      <c r="G225" s="98"/>
      <c r="H225" s="98"/>
      <c r="I225" s="98"/>
      <c r="K225" s="584"/>
    </row>
    <row r="226" spans="1:12" s="100" customFormat="1" ht="13.5" customHeight="1">
      <c r="A226" s="165"/>
      <c r="B226" s="103"/>
      <c r="C226" s="103"/>
      <c r="D226" s="101" t="s">
        <v>61</v>
      </c>
      <c r="E226" s="103"/>
      <c r="F226" s="162">
        <v>1</v>
      </c>
      <c r="G226" s="104"/>
      <c r="H226" s="98"/>
      <c r="I226" s="98"/>
      <c r="K226" s="584"/>
    </row>
    <row r="227" spans="1:12" s="100" customFormat="1" ht="13.5" customHeight="1">
      <c r="A227" s="197"/>
      <c r="B227" s="103"/>
      <c r="C227" s="103"/>
      <c r="D227" s="153" t="s">
        <v>553</v>
      </c>
      <c r="E227" s="103"/>
      <c r="F227" s="162"/>
      <c r="G227" s="104"/>
      <c r="H227" s="98"/>
      <c r="I227" s="98"/>
      <c r="K227" s="585"/>
      <c r="L227" s="525"/>
    </row>
    <row r="228" spans="1:12" s="100" customFormat="1" ht="67.5" customHeight="1">
      <c r="A228" s="165"/>
      <c r="B228" s="107"/>
      <c r="C228" s="103"/>
      <c r="D228" s="108" t="s">
        <v>57</v>
      </c>
      <c r="E228" s="90"/>
      <c r="F228" s="286"/>
      <c r="G228" s="104"/>
      <c r="H228" s="98"/>
      <c r="I228" s="98"/>
      <c r="K228" s="584"/>
    </row>
    <row r="229" spans="1:12" s="100" customFormat="1" ht="13.5" customHeight="1">
      <c r="A229" s="228"/>
      <c r="B229" s="147"/>
      <c r="C229" s="147">
        <v>730</v>
      </c>
      <c r="D229" s="147" t="s">
        <v>555</v>
      </c>
      <c r="E229" s="147"/>
      <c r="F229" s="191"/>
      <c r="G229" s="148"/>
      <c r="H229" s="148">
        <f>SUM(H230:H234)</f>
        <v>1200000</v>
      </c>
      <c r="I229" s="148"/>
      <c r="K229" s="584"/>
    </row>
    <row r="230" spans="1:12" s="100" customFormat="1" ht="13.5" customHeight="1">
      <c r="A230" s="165">
        <v>33</v>
      </c>
      <c r="B230" s="97" t="s">
        <v>59</v>
      </c>
      <c r="C230" s="97" t="s">
        <v>651</v>
      </c>
      <c r="D230" s="97" t="s">
        <v>596</v>
      </c>
      <c r="E230" s="97" t="s">
        <v>23</v>
      </c>
      <c r="F230" s="175">
        <f>F232</f>
        <v>1</v>
      </c>
      <c r="G230" s="98">
        <v>1200000</v>
      </c>
      <c r="H230" s="138">
        <f>F230*G230</f>
        <v>1200000</v>
      </c>
      <c r="I230" s="196" t="s">
        <v>49</v>
      </c>
      <c r="K230" s="584"/>
    </row>
    <row r="231" spans="1:12" s="100" customFormat="1" ht="40.5" customHeight="1">
      <c r="A231" s="165"/>
      <c r="B231" s="97"/>
      <c r="C231" s="97"/>
      <c r="D231" s="101" t="s">
        <v>556</v>
      </c>
      <c r="E231" s="97"/>
      <c r="F231" s="286"/>
      <c r="G231" s="98"/>
      <c r="H231" s="98"/>
      <c r="I231" s="98"/>
      <c r="K231" s="584"/>
    </row>
    <row r="232" spans="1:12" s="100" customFormat="1" ht="13.5" customHeight="1">
      <c r="A232" s="165"/>
      <c r="B232" s="103"/>
      <c r="C232" s="103"/>
      <c r="D232" s="101" t="s">
        <v>61</v>
      </c>
      <c r="E232" s="103"/>
      <c r="F232" s="162">
        <v>1</v>
      </c>
      <c r="G232" s="104"/>
      <c r="H232" s="98"/>
      <c r="I232" s="98"/>
      <c r="K232" s="584"/>
    </row>
    <row r="233" spans="1:12" s="100" customFormat="1" ht="13.5" customHeight="1">
      <c r="A233" s="197"/>
      <c r="B233" s="103"/>
      <c r="C233" s="103"/>
      <c r="D233" s="153" t="s">
        <v>553</v>
      </c>
      <c r="E233" s="103"/>
      <c r="F233" s="162"/>
      <c r="G233" s="104"/>
      <c r="H233" s="98"/>
      <c r="I233" s="98"/>
      <c r="K233" s="585"/>
      <c r="L233" s="525"/>
    </row>
    <row r="234" spans="1:12" s="100" customFormat="1" ht="67.5" customHeight="1">
      <c r="A234" s="165"/>
      <c r="B234" s="107"/>
      <c r="C234" s="103"/>
      <c r="D234" s="108" t="s">
        <v>57</v>
      </c>
      <c r="E234" s="90"/>
      <c r="F234" s="286"/>
      <c r="G234" s="104"/>
      <c r="H234" s="98"/>
      <c r="I234" s="98"/>
      <c r="K234" s="584"/>
    </row>
    <row r="235" spans="1:12" s="100" customFormat="1" ht="13.5" customHeight="1">
      <c r="A235" s="228"/>
      <c r="B235" s="147"/>
      <c r="C235" s="147">
        <v>750</v>
      </c>
      <c r="D235" s="147" t="s">
        <v>605</v>
      </c>
      <c r="E235" s="147"/>
      <c r="F235" s="191"/>
      <c r="G235" s="148"/>
      <c r="H235" s="148">
        <f>SUM(H236:H240)</f>
        <v>1400000</v>
      </c>
      <c r="I235" s="148"/>
      <c r="K235" s="584"/>
    </row>
    <row r="236" spans="1:12" s="100" customFormat="1" ht="13.5" customHeight="1">
      <c r="A236" s="165">
        <v>34</v>
      </c>
      <c r="B236" s="97" t="s">
        <v>59</v>
      </c>
      <c r="C236" s="97" t="s">
        <v>653</v>
      </c>
      <c r="D236" s="97" t="s">
        <v>604</v>
      </c>
      <c r="E236" s="97" t="s">
        <v>23</v>
      </c>
      <c r="F236" s="175">
        <f>F238</f>
        <v>1</v>
      </c>
      <c r="G236" s="98">
        <v>1400000</v>
      </c>
      <c r="H236" s="138">
        <f>F236*G236</f>
        <v>1400000</v>
      </c>
      <c r="I236" s="196" t="s">
        <v>49</v>
      </c>
      <c r="K236" s="584"/>
    </row>
    <row r="237" spans="1:12" s="100" customFormat="1" ht="40.5" customHeight="1">
      <c r="A237" s="165"/>
      <c r="B237" s="97"/>
      <c r="C237" s="97"/>
      <c r="D237" s="101" t="s">
        <v>603</v>
      </c>
      <c r="E237" s="97"/>
      <c r="F237" s="286"/>
      <c r="G237" s="98"/>
      <c r="H237" s="98"/>
      <c r="I237" s="98"/>
      <c r="K237" s="584"/>
    </row>
    <row r="238" spans="1:12" s="100" customFormat="1" ht="13.5" customHeight="1">
      <c r="A238" s="165"/>
      <c r="B238" s="103"/>
      <c r="C238" s="103"/>
      <c r="D238" s="101" t="s">
        <v>61</v>
      </c>
      <c r="E238" s="103"/>
      <c r="F238" s="162">
        <v>1</v>
      </c>
      <c r="G238" s="104"/>
      <c r="H238" s="98"/>
      <c r="I238" s="98"/>
      <c r="K238" s="584"/>
    </row>
    <row r="239" spans="1:12" s="100" customFormat="1" ht="13.5" customHeight="1">
      <c r="A239" s="197"/>
      <c r="B239" s="103"/>
      <c r="C239" s="103"/>
      <c r="D239" s="153" t="s">
        <v>553</v>
      </c>
      <c r="E239" s="103"/>
      <c r="F239" s="162"/>
      <c r="G239" s="104"/>
      <c r="H239" s="98"/>
      <c r="I239" s="98"/>
      <c r="K239" s="585"/>
      <c r="L239" s="525"/>
    </row>
    <row r="240" spans="1:12" s="100" customFormat="1" ht="67.5" customHeight="1">
      <c r="A240" s="165"/>
      <c r="B240" s="107"/>
      <c r="C240" s="103"/>
      <c r="D240" s="108" t="s">
        <v>57</v>
      </c>
      <c r="E240" s="90"/>
      <c r="F240" s="286"/>
      <c r="G240" s="104"/>
      <c r="H240" s="98"/>
      <c r="I240" s="98"/>
      <c r="K240" s="584"/>
    </row>
    <row r="241" spans="1:14" s="100" customFormat="1" ht="13.5" customHeight="1">
      <c r="A241" s="228"/>
      <c r="B241" s="147"/>
      <c r="C241" s="147">
        <v>740</v>
      </c>
      <c r="D241" s="147" t="s">
        <v>606</v>
      </c>
      <c r="E241" s="147"/>
      <c r="F241" s="191"/>
      <c r="G241" s="148"/>
      <c r="H241" s="148">
        <f>SUM(H242:H246)</f>
        <v>1100000</v>
      </c>
      <c r="I241" s="148"/>
      <c r="K241" s="584"/>
    </row>
    <row r="242" spans="1:14" s="100" customFormat="1" ht="13.5" customHeight="1">
      <c r="A242" s="165">
        <v>35</v>
      </c>
      <c r="B242" s="97" t="s">
        <v>59</v>
      </c>
      <c r="C242" s="97" t="s">
        <v>652</v>
      </c>
      <c r="D242" s="97" t="s">
        <v>607</v>
      </c>
      <c r="E242" s="97" t="s">
        <v>23</v>
      </c>
      <c r="F242" s="175">
        <f>F244</f>
        <v>1</v>
      </c>
      <c r="G242" s="98">
        <v>1100000</v>
      </c>
      <c r="H242" s="138">
        <f>F242*G242</f>
        <v>1100000</v>
      </c>
      <c r="I242" s="196" t="s">
        <v>49</v>
      </c>
      <c r="K242" s="584"/>
    </row>
    <row r="243" spans="1:14" s="100" customFormat="1" ht="40.5" customHeight="1">
      <c r="A243" s="165"/>
      <c r="B243" s="97"/>
      <c r="C243" s="97"/>
      <c r="D243" s="101" t="s">
        <v>608</v>
      </c>
      <c r="E243" s="97"/>
      <c r="F243" s="286"/>
      <c r="G243" s="98"/>
      <c r="H243" s="98"/>
      <c r="I243" s="98"/>
      <c r="K243" s="584"/>
    </row>
    <row r="244" spans="1:14" s="100" customFormat="1" ht="13.5" customHeight="1">
      <c r="A244" s="165"/>
      <c r="B244" s="103"/>
      <c r="C244" s="103"/>
      <c r="D244" s="101" t="s">
        <v>61</v>
      </c>
      <c r="E244" s="103"/>
      <c r="F244" s="162">
        <v>1</v>
      </c>
      <c r="G244" s="104"/>
      <c r="H244" s="98"/>
      <c r="I244" s="98"/>
      <c r="K244" s="584"/>
    </row>
    <row r="245" spans="1:14" s="100" customFormat="1" ht="13.5" customHeight="1">
      <c r="A245" s="197"/>
      <c r="B245" s="103"/>
      <c r="C245" s="103"/>
      <c r="D245" s="153" t="s">
        <v>553</v>
      </c>
      <c r="E245" s="103"/>
      <c r="F245" s="162"/>
      <c r="G245" s="104"/>
      <c r="H245" s="98"/>
      <c r="I245" s="98"/>
      <c r="K245" s="585"/>
      <c r="L245" s="525"/>
    </row>
    <row r="246" spans="1:14" s="100" customFormat="1" ht="67.5" customHeight="1">
      <c r="A246" s="165"/>
      <c r="B246" s="107"/>
      <c r="C246" s="103"/>
      <c r="D246" s="108" t="s">
        <v>57</v>
      </c>
      <c r="E246" s="90"/>
      <c r="F246" s="286"/>
      <c r="G246" s="104"/>
      <c r="H246" s="98"/>
      <c r="I246" s="98"/>
      <c r="K246" s="584"/>
    </row>
    <row r="247" spans="1:14" s="116" customFormat="1" ht="13.5" customHeight="1">
      <c r="A247" s="474"/>
      <c r="B247" s="475"/>
      <c r="C247" s="475">
        <v>762</v>
      </c>
      <c r="D247" s="475" t="s">
        <v>91</v>
      </c>
      <c r="E247" s="475"/>
      <c r="F247" s="476"/>
      <c r="G247" s="476"/>
      <c r="H247" s="476">
        <f>SUM(H248:H255)</f>
        <v>400000</v>
      </c>
      <c r="I247" s="450"/>
      <c r="J247" s="586"/>
      <c r="K247" s="587"/>
      <c r="L247" s="587"/>
      <c r="M247" s="586"/>
      <c r="N247" s="588"/>
    </row>
    <row r="248" spans="1:14" s="451" customFormat="1" ht="13.5" customHeight="1">
      <c r="A248" s="447">
        <v>36</v>
      </c>
      <c r="B248" s="448">
        <v>762</v>
      </c>
      <c r="C248" s="448" t="s">
        <v>573</v>
      </c>
      <c r="D248" s="448" t="s">
        <v>574</v>
      </c>
      <c r="E248" s="448" t="s">
        <v>23</v>
      </c>
      <c r="F248" s="449">
        <f>SUM(F249:F254)</f>
        <v>1</v>
      </c>
      <c r="G248" s="449">
        <v>400000</v>
      </c>
      <c r="H248" s="449">
        <f>F248*G248</f>
        <v>400000</v>
      </c>
      <c r="I248" s="196" t="s">
        <v>49</v>
      </c>
      <c r="J248" s="586"/>
      <c r="K248" s="587"/>
      <c r="L248" s="587"/>
      <c r="M248" s="586"/>
      <c r="N248" s="539"/>
    </row>
    <row r="249" spans="1:14" s="451" customFormat="1" ht="13.5" customHeight="1">
      <c r="A249" s="452"/>
      <c r="B249" s="453"/>
      <c r="C249" s="453"/>
      <c r="D249" s="454" t="s">
        <v>575</v>
      </c>
      <c r="E249" s="453"/>
      <c r="F249" s="455">
        <v>1</v>
      </c>
      <c r="G249" s="456"/>
      <c r="H249" s="457"/>
      <c r="I249" s="458"/>
      <c r="J249" s="586"/>
      <c r="K249" s="587"/>
      <c r="L249" s="587"/>
      <c r="M249" s="586"/>
      <c r="N249" s="588"/>
    </row>
    <row r="250" spans="1:14" s="451" customFormat="1" ht="13.5" customHeight="1">
      <c r="A250" s="452"/>
      <c r="B250" s="453"/>
      <c r="C250" s="453"/>
      <c r="D250" s="454" t="s">
        <v>80</v>
      </c>
      <c r="E250" s="453"/>
      <c r="F250" s="455"/>
      <c r="G250" s="456"/>
      <c r="H250" s="457"/>
      <c r="I250" s="458"/>
      <c r="J250" s="586"/>
      <c r="K250" s="587"/>
      <c r="L250" s="587"/>
      <c r="M250" s="586"/>
      <c r="N250" s="539"/>
    </row>
    <row r="251" spans="1:14" s="451" customFormat="1" ht="13.5" customHeight="1">
      <c r="A251" s="452"/>
      <c r="B251" s="453"/>
      <c r="C251" s="453"/>
      <c r="D251" s="454" t="s">
        <v>576</v>
      </c>
      <c r="E251" s="453"/>
      <c r="F251" s="455"/>
      <c r="G251" s="456"/>
      <c r="H251" s="457"/>
      <c r="I251" s="458"/>
      <c r="J251" s="586"/>
      <c r="K251" s="587"/>
      <c r="L251" s="587"/>
      <c r="M251" s="586"/>
      <c r="N251" s="588"/>
    </row>
    <row r="252" spans="1:14" s="451" customFormat="1" ht="13.5" customHeight="1">
      <c r="A252" s="452"/>
      <c r="B252" s="453"/>
      <c r="C252" s="453"/>
      <c r="D252" s="454" t="s">
        <v>577</v>
      </c>
      <c r="E252" s="453"/>
      <c r="F252" s="455"/>
      <c r="G252" s="456"/>
      <c r="H252" s="457"/>
      <c r="I252" s="458"/>
      <c r="J252" s="586"/>
      <c r="K252" s="587"/>
      <c r="L252" s="587"/>
      <c r="M252" s="586"/>
      <c r="N252" s="588"/>
    </row>
    <row r="253" spans="1:14" s="451" customFormat="1" ht="13.5" customHeight="1">
      <c r="A253" s="452"/>
      <c r="B253" s="453"/>
      <c r="C253" s="453"/>
      <c r="D253" s="454" t="s">
        <v>578</v>
      </c>
      <c r="E253" s="453"/>
      <c r="F253" s="455"/>
      <c r="G253" s="456"/>
      <c r="H253" s="457"/>
      <c r="I253" s="458"/>
      <c r="J253" s="586"/>
      <c r="K253" s="587"/>
      <c r="L253" s="587"/>
      <c r="M253" s="586"/>
      <c r="N253" s="588"/>
    </row>
    <row r="254" spans="1:14" s="451" customFormat="1" ht="27" customHeight="1">
      <c r="A254" s="452"/>
      <c r="B254" s="453"/>
      <c r="C254" s="453"/>
      <c r="D254" s="454" t="s">
        <v>579</v>
      </c>
      <c r="E254" s="453"/>
      <c r="F254" s="455"/>
      <c r="G254" s="456"/>
      <c r="H254" s="457"/>
      <c r="I254" s="458"/>
      <c r="J254" s="586"/>
      <c r="K254" s="587"/>
      <c r="L254" s="587"/>
      <c r="M254" s="586"/>
      <c r="N254" s="588"/>
    </row>
    <row r="255" spans="1:14" customFormat="1" ht="27" customHeight="1">
      <c r="A255" s="447"/>
      <c r="B255" s="477"/>
      <c r="C255" s="448"/>
      <c r="D255" s="454" t="s">
        <v>580</v>
      </c>
      <c r="E255" s="448"/>
      <c r="F255" s="455"/>
      <c r="G255" s="449"/>
      <c r="H255" s="449"/>
      <c r="I255" s="450"/>
      <c r="J255" s="586"/>
      <c r="K255" s="587"/>
      <c r="L255" s="587"/>
      <c r="M255" s="586"/>
      <c r="N255" s="588"/>
    </row>
    <row r="256" spans="1:14" s="100" customFormat="1" ht="13.5" customHeight="1">
      <c r="A256" s="165"/>
      <c r="B256" s="147"/>
      <c r="C256" s="147">
        <v>763</v>
      </c>
      <c r="D256" s="147" t="s">
        <v>92</v>
      </c>
      <c r="E256" s="147"/>
      <c r="F256" s="191"/>
      <c r="G256" s="229"/>
      <c r="H256" s="148">
        <f>SUM(H257:H291)</f>
        <v>1764258.3599999999</v>
      </c>
      <c r="I256" s="109"/>
    </row>
    <row r="257" spans="1:19" s="88" customFormat="1" ht="13.5" customHeight="1">
      <c r="A257" s="213">
        <v>37</v>
      </c>
      <c r="B257" s="204" t="s">
        <v>232</v>
      </c>
      <c r="C257" s="73" t="s">
        <v>233</v>
      </c>
      <c r="D257" s="73" t="s">
        <v>234</v>
      </c>
      <c r="E257" s="73" t="s">
        <v>48</v>
      </c>
      <c r="F257" s="205">
        <f>SUM(F259:F259)</f>
        <v>208.11599999999999</v>
      </c>
      <c r="G257" s="215">
        <v>2570</v>
      </c>
      <c r="H257" s="133">
        <f>F257*G257</f>
        <v>534858.12</v>
      </c>
      <c r="I257" s="196" t="s">
        <v>49</v>
      </c>
    </row>
    <row r="258" spans="1:19" s="92" customFormat="1" ht="13.5" customHeight="1">
      <c r="A258" s="168"/>
      <c r="B258" s="169"/>
      <c r="C258" s="89"/>
      <c r="D258" s="80" t="s">
        <v>235</v>
      </c>
      <c r="E258" s="89"/>
      <c r="G258" s="91"/>
      <c r="H258" s="91"/>
      <c r="I258" s="196"/>
      <c r="J258" s="589"/>
      <c r="K258" s="589"/>
      <c r="L258" s="589"/>
      <c r="O258" s="578"/>
    </row>
    <row r="259" spans="1:19" s="92" customFormat="1" ht="13.5" customHeight="1">
      <c r="A259" s="168"/>
      <c r="B259" s="169"/>
      <c r="C259" s="89"/>
      <c r="D259" s="80" t="s">
        <v>548</v>
      </c>
      <c r="E259" s="89"/>
      <c r="F259" s="207">
        <f>127.282+75.704+5.13</f>
        <v>208.11599999999999</v>
      </c>
      <c r="G259" s="91"/>
      <c r="H259" s="91"/>
      <c r="I259" s="196"/>
      <c r="O259" s="578"/>
    </row>
    <row r="260" spans="1:19" s="92" customFormat="1" ht="13.5" customHeight="1">
      <c r="A260" s="170"/>
      <c r="B260" s="89"/>
      <c r="C260" s="89"/>
      <c r="D260" s="80" t="s">
        <v>80</v>
      </c>
      <c r="E260" s="89"/>
      <c r="F260" s="142"/>
      <c r="G260" s="91"/>
      <c r="H260" s="91"/>
      <c r="I260" s="196"/>
    </row>
    <row r="261" spans="1:19" s="233" customFormat="1" ht="13.5" customHeight="1">
      <c r="A261" s="230"/>
      <c r="B261" s="231"/>
      <c r="C261" s="231"/>
      <c r="D261" s="231" t="s">
        <v>236</v>
      </c>
      <c r="E261" s="231"/>
      <c r="F261" s="207"/>
      <c r="G261" s="232"/>
      <c r="H261" s="232"/>
      <c r="I261" s="196"/>
      <c r="J261" s="590"/>
    </row>
    <row r="262" spans="1:19" s="233" customFormat="1" ht="13.5" customHeight="1">
      <c r="A262" s="230"/>
      <c r="B262" s="231"/>
      <c r="C262" s="231"/>
      <c r="D262" s="231" t="s">
        <v>237</v>
      </c>
      <c r="E262" s="231"/>
      <c r="F262" s="207"/>
      <c r="G262" s="232"/>
      <c r="H262" s="232"/>
      <c r="I262" s="234"/>
      <c r="J262" s="591"/>
      <c r="S262" s="592"/>
    </row>
    <row r="263" spans="1:19" s="233" customFormat="1" ht="13.5" customHeight="1">
      <c r="A263" s="230"/>
      <c r="B263" s="231"/>
      <c r="C263" s="231"/>
      <c r="D263" s="231" t="s">
        <v>238</v>
      </c>
      <c r="E263" s="231"/>
      <c r="F263" s="207"/>
      <c r="G263" s="232"/>
      <c r="H263" s="232"/>
      <c r="I263" s="234"/>
      <c r="J263" s="591"/>
      <c r="S263" s="592"/>
    </row>
    <row r="264" spans="1:19" s="233" customFormat="1" ht="13.5" customHeight="1">
      <c r="A264" s="230"/>
      <c r="B264" s="231"/>
      <c r="C264" s="231"/>
      <c r="D264" s="80" t="s">
        <v>239</v>
      </c>
      <c r="E264" s="231"/>
      <c r="F264" s="207"/>
      <c r="G264" s="232"/>
      <c r="H264" s="232"/>
      <c r="I264" s="234"/>
    </row>
    <row r="265" spans="1:19" s="233" customFormat="1" ht="13.5" customHeight="1">
      <c r="A265" s="230"/>
      <c r="B265" s="231"/>
      <c r="C265" s="231"/>
      <c r="D265" s="80" t="s">
        <v>240</v>
      </c>
      <c r="E265" s="231"/>
      <c r="F265" s="207"/>
      <c r="G265" s="232"/>
      <c r="H265" s="232"/>
      <c r="I265" s="234"/>
    </row>
    <row r="266" spans="1:19" s="233" customFormat="1" ht="13.5" customHeight="1">
      <c r="A266" s="230"/>
      <c r="B266" s="231"/>
      <c r="C266" s="231"/>
      <c r="D266" s="231" t="s">
        <v>133</v>
      </c>
      <c r="E266" s="231"/>
      <c r="F266" s="207"/>
      <c r="G266" s="232"/>
      <c r="H266" s="232"/>
      <c r="I266" s="234"/>
    </row>
    <row r="267" spans="1:19" s="233" customFormat="1" ht="13.5" customHeight="1">
      <c r="A267" s="230"/>
      <c r="B267" s="231"/>
      <c r="C267" s="231"/>
      <c r="D267" s="231" t="s">
        <v>241</v>
      </c>
      <c r="E267" s="231"/>
      <c r="F267" s="207"/>
      <c r="G267" s="232"/>
      <c r="H267" s="232"/>
      <c r="I267" s="234"/>
      <c r="J267" s="593"/>
      <c r="P267" s="594"/>
    </row>
    <row r="268" spans="1:19" s="88" customFormat="1" ht="13.5" customHeight="1">
      <c r="A268" s="213">
        <v>38</v>
      </c>
      <c r="B268" s="204" t="s">
        <v>232</v>
      </c>
      <c r="C268" s="73" t="s">
        <v>242</v>
      </c>
      <c r="D268" s="73" t="s">
        <v>243</v>
      </c>
      <c r="E268" s="73" t="s">
        <v>48</v>
      </c>
      <c r="F268" s="205">
        <f>SUM(F270:F270)</f>
        <v>3.298</v>
      </c>
      <c r="G268" s="215">
        <v>1880</v>
      </c>
      <c r="H268" s="133">
        <f>F268*G268</f>
        <v>6200.24</v>
      </c>
      <c r="I268" s="196" t="s">
        <v>49</v>
      </c>
    </row>
    <row r="269" spans="1:19" s="92" customFormat="1" ht="13.5" customHeight="1">
      <c r="A269" s="168"/>
      <c r="B269" s="169"/>
      <c r="C269" s="89"/>
      <c r="D269" s="80" t="s">
        <v>244</v>
      </c>
      <c r="E269" s="89"/>
      <c r="F269" s="207"/>
      <c r="G269" s="91"/>
      <c r="H269" s="91"/>
      <c r="I269" s="196"/>
      <c r="O269" s="578"/>
    </row>
    <row r="270" spans="1:19" s="92" customFormat="1" ht="13.5" customHeight="1">
      <c r="A270" s="168"/>
      <c r="B270" s="169"/>
      <c r="C270" s="89"/>
      <c r="D270" s="80" t="s">
        <v>548</v>
      </c>
      <c r="E270" s="89"/>
      <c r="F270" s="207">
        <v>3.298</v>
      </c>
      <c r="G270" s="91"/>
      <c r="H270" s="91"/>
      <c r="I270" s="196"/>
      <c r="J270" s="595"/>
      <c r="O270" s="578"/>
    </row>
    <row r="271" spans="1:19" s="92" customFormat="1" ht="13.5" customHeight="1">
      <c r="A271" s="170"/>
      <c r="B271" s="89"/>
      <c r="C271" s="89"/>
      <c r="D271" s="80" t="s">
        <v>80</v>
      </c>
      <c r="E271" s="89"/>
      <c r="F271" s="142"/>
      <c r="G271" s="91"/>
      <c r="H271" s="91"/>
      <c r="I271" s="196"/>
    </row>
    <row r="272" spans="1:19" s="233" customFormat="1" ht="13.5" customHeight="1">
      <c r="A272" s="230"/>
      <c r="B272" s="231"/>
      <c r="C272" s="231"/>
      <c r="D272" s="231" t="s">
        <v>245</v>
      </c>
      <c r="E272" s="231"/>
      <c r="F272" s="207"/>
      <c r="G272" s="232"/>
      <c r="H272" s="232"/>
      <c r="I272" s="196"/>
      <c r="J272" s="92"/>
    </row>
    <row r="273" spans="1:19" s="233" customFormat="1" ht="13.5" customHeight="1">
      <c r="A273" s="230"/>
      <c r="B273" s="231"/>
      <c r="C273" s="231"/>
      <c r="D273" s="231" t="s">
        <v>237</v>
      </c>
      <c r="E273" s="231"/>
      <c r="F273" s="207"/>
      <c r="G273" s="232"/>
      <c r="H273" s="232"/>
      <c r="I273" s="234"/>
      <c r="J273" s="591"/>
      <c r="S273" s="592"/>
    </row>
    <row r="274" spans="1:19" s="233" customFormat="1" ht="13.5" customHeight="1">
      <c r="A274" s="230"/>
      <c r="B274" s="231"/>
      <c r="C274" s="231"/>
      <c r="D274" s="231" t="s">
        <v>238</v>
      </c>
      <c r="E274" s="231"/>
      <c r="F274" s="207"/>
      <c r="G274" s="232"/>
      <c r="H274" s="232"/>
      <c r="I274" s="234"/>
      <c r="J274" s="591"/>
      <c r="S274" s="592"/>
    </row>
    <row r="275" spans="1:19" s="233" customFormat="1" ht="13.5" customHeight="1">
      <c r="A275" s="230"/>
      <c r="B275" s="231"/>
      <c r="C275" s="231"/>
      <c r="D275" s="80" t="s">
        <v>246</v>
      </c>
      <c r="E275" s="231"/>
      <c r="F275" s="207"/>
      <c r="G275" s="232"/>
      <c r="H275" s="232"/>
      <c r="I275" s="234"/>
      <c r="J275" s="591"/>
    </row>
    <row r="276" spans="1:19" s="233" customFormat="1" ht="13.5" customHeight="1">
      <c r="A276" s="230"/>
      <c r="B276" s="231"/>
      <c r="C276" s="231"/>
      <c r="D276" s="80" t="s">
        <v>240</v>
      </c>
      <c r="E276" s="231"/>
      <c r="F276" s="207"/>
      <c r="G276" s="232"/>
      <c r="H276" s="232"/>
      <c r="I276" s="234"/>
    </row>
    <row r="277" spans="1:19" s="233" customFormat="1" ht="13.5" customHeight="1">
      <c r="A277" s="230"/>
      <c r="B277" s="231"/>
      <c r="C277" s="231"/>
      <c r="D277" s="231" t="s">
        <v>133</v>
      </c>
      <c r="E277" s="231"/>
      <c r="F277" s="207"/>
      <c r="G277" s="232"/>
      <c r="H277" s="232"/>
      <c r="I277" s="234"/>
    </row>
    <row r="278" spans="1:19" s="233" customFormat="1" ht="13.5" customHeight="1">
      <c r="A278" s="230"/>
      <c r="B278" s="231"/>
      <c r="C278" s="231"/>
      <c r="D278" s="231" t="s">
        <v>247</v>
      </c>
      <c r="E278" s="231"/>
      <c r="F278" s="207"/>
      <c r="G278" s="232"/>
      <c r="H278" s="232"/>
      <c r="I278" s="234"/>
      <c r="J278" s="593"/>
      <c r="P278" s="594"/>
    </row>
    <row r="279" spans="1:19" s="88" customFormat="1" ht="13.5" customHeight="1">
      <c r="A279" s="213">
        <v>39</v>
      </c>
      <c r="B279" s="204" t="s">
        <v>232</v>
      </c>
      <c r="C279" s="73" t="s">
        <v>248</v>
      </c>
      <c r="D279" s="73" t="s">
        <v>249</v>
      </c>
      <c r="E279" s="73" t="s">
        <v>23</v>
      </c>
      <c r="F279" s="205">
        <f>SUM(F281:F281)</f>
        <v>1</v>
      </c>
      <c r="G279" s="215">
        <v>1200000</v>
      </c>
      <c r="H279" s="133">
        <f>F279*G279</f>
        <v>1200000</v>
      </c>
      <c r="I279" s="196" t="s">
        <v>49</v>
      </c>
      <c r="J279" s="596"/>
      <c r="K279" s="596"/>
    </row>
    <row r="280" spans="1:19" s="92" customFormat="1" ht="13.5" customHeight="1">
      <c r="A280" s="168"/>
      <c r="B280" s="169"/>
      <c r="C280" s="89"/>
      <c r="D280" s="80" t="s">
        <v>250</v>
      </c>
      <c r="E280" s="89"/>
      <c r="G280" s="91"/>
      <c r="H280" s="91"/>
      <c r="I280" s="196"/>
      <c r="J280" s="578"/>
      <c r="K280" s="578"/>
      <c r="O280" s="578"/>
    </row>
    <row r="281" spans="1:19" s="92" customFormat="1" ht="13.5" customHeight="1">
      <c r="A281" s="168"/>
      <c r="B281" s="169"/>
      <c r="C281" s="89"/>
      <c r="D281" s="80" t="s">
        <v>549</v>
      </c>
      <c r="E281" s="89"/>
      <c r="F281" s="207">
        <v>1</v>
      </c>
      <c r="G281" s="91"/>
      <c r="H281" s="91"/>
      <c r="I281" s="196"/>
      <c r="J281" s="578"/>
      <c r="K281" s="578"/>
      <c r="O281" s="578"/>
    </row>
    <row r="282" spans="1:19" s="92" customFormat="1" ht="13.5" customHeight="1">
      <c r="A282" s="170"/>
      <c r="B282" s="89"/>
      <c r="C282" s="89"/>
      <c r="D282" s="80" t="s">
        <v>80</v>
      </c>
      <c r="E282" s="89"/>
      <c r="F282" s="142"/>
      <c r="G282" s="91"/>
      <c r="H282" s="91"/>
      <c r="I282" s="196"/>
      <c r="J282" s="578"/>
      <c r="K282" s="578"/>
    </row>
    <row r="283" spans="1:19" s="233" customFormat="1" ht="13.5" customHeight="1">
      <c r="A283" s="230"/>
      <c r="B283" s="231"/>
      <c r="C283" s="231"/>
      <c r="D283" s="231" t="s">
        <v>251</v>
      </c>
      <c r="E283" s="231"/>
      <c r="F283" s="207"/>
      <c r="G283" s="232"/>
      <c r="H283" s="232"/>
      <c r="I283" s="215"/>
      <c r="J283" s="92"/>
      <c r="K283" s="92"/>
      <c r="N283" s="92"/>
    </row>
    <row r="284" spans="1:19" s="233" customFormat="1" ht="13.5" customHeight="1">
      <c r="A284" s="230"/>
      <c r="B284" s="231"/>
      <c r="C284" s="231"/>
      <c r="D284" s="231" t="s">
        <v>238</v>
      </c>
      <c r="E284" s="231"/>
      <c r="F284" s="207"/>
      <c r="G284" s="232"/>
      <c r="H284" s="232"/>
      <c r="I284" s="234"/>
      <c r="J284" s="92"/>
      <c r="S284" s="592"/>
    </row>
    <row r="285" spans="1:19" s="233" customFormat="1" ht="13.5" customHeight="1">
      <c r="A285" s="230"/>
      <c r="B285" s="231"/>
      <c r="C285" s="231"/>
      <c r="D285" s="80" t="s">
        <v>252</v>
      </c>
      <c r="E285" s="231"/>
      <c r="F285" s="207"/>
      <c r="G285" s="232"/>
      <c r="H285" s="232"/>
      <c r="I285" s="234"/>
    </row>
    <row r="286" spans="1:19" s="233" customFormat="1" ht="13.5" customHeight="1">
      <c r="A286" s="230"/>
      <c r="B286" s="231"/>
      <c r="C286" s="231"/>
      <c r="D286" s="80" t="s">
        <v>253</v>
      </c>
      <c r="E286" s="231"/>
      <c r="F286" s="207"/>
      <c r="G286" s="232"/>
      <c r="H286" s="232"/>
      <c r="I286" s="234"/>
      <c r="J286" s="597"/>
    </row>
    <row r="287" spans="1:19" s="233" customFormat="1" ht="13.5" customHeight="1">
      <c r="A287" s="230"/>
      <c r="B287" s="231"/>
      <c r="C287" s="231"/>
      <c r="D287" s="231" t="s">
        <v>133</v>
      </c>
      <c r="E287" s="231"/>
      <c r="F287" s="207"/>
      <c r="G287" s="232"/>
      <c r="H287" s="232"/>
      <c r="I287" s="234"/>
    </row>
    <row r="288" spans="1:19" s="233" customFormat="1" ht="13.5" customHeight="1">
      <c r="A288" s="230"/>
      <c r="B288" s="231"/>
      <c r="C288" s="231"/>
      <c r="D288" s="231" t="s">
        <v>254</v>
      </c>
      <c r="E288" s="231"/>
      <c r="F288" s="207"/>
      <c r="G288" s="232"/>
      <c r="H288" s="232"/>
      <c r="I288" s="234"/>
      <c r="J288" s="593"/>
      <c r="P288" s="594"/>
    </row>
    <row r="289" spans="1:19" s="216" customFormat="1" ht="13.5" customHeight="1">
      <c r="A289" s="235">
        <v>40</v>
      </c>
      <c r="B289" s="73" t="s">
        <v>54</v>
      </c>
      <c r="C289" s="73" t="s">
        <v>255</v>
      </c>
      <c r="D289" s="73" t="s">
        <v>256</v>
      </c>
      <c r="E289" s="73" t="s">
        <v>44</v>
      </c>
      <c r="F289" s="236">
        <f>SUM(F290:F290)</f>
        <v>50</v>
      </c>
      <c r="G289" s="215">
        <v>464</v>
      </c>
      <c r="H289" s="133">
        <f>F289*G289</f>
        <v>23200</v>
      </c>
      <c r="I289" s="196" t="s">
        <v>45</v>
      </c>
    </row>
    <row r="290" spans="1:19" s="78" customFormat="1" ht="13.5" customHeight="1">
      <c r="A290" s="237"/>
      <c r="B290" s="218"/>
      <c r="C290" s="218"/>
      <c r="D290" s="76" t="s">
        <v>257</v>
      </c>
      <c r="E290" s="218"/>
      <c r="F290" s="219">
        <v>50</v>
      </c>
      <c r="G290" s="238"/>
      <c r="H290" s="205"/>
      <c r="I290" s="212"/>
    </row>
    <row r="291" spans="1:19" s="78" customFormat="1" ht="13.5" customHeight="1">
      <c r="A291" s="237"/>
      <c r="B291" s="218"/>
      <c r="C291" s="218"/>
      <c r="D291" s="76" t="s">
        <v>64</v>
      </c>
      <c r="E291" s="218"/>
      <c r="F291" s="219"/>
      <c r="G291" s="238"/>
      <c r="H291" s="205"/>
      <c r="I291" s="212"/>
    </row>
    <row r="292" spans="1:19" s="100" customFormat="1" ht="13.5" customHeight="1">
      <c r="A292" s="146"/>
      <c r="B292" s="147"/>
      <c r="C292" s="147">
        <v>764</v>
      </c>
      <c r="D292" s="147" t="s">
        <v>93</v>
      </c>
      <c r="E292" s="147"/>
      <c r="F292" s="148"/>
      <c r="G292" s="149"/>
      <c r="H292" s="149">
        <f>SUM(H293:H310)</f>
        <v>458580</v>
      </c>
      <c r="I292" s="163"/>
      <c r="J292" s="598"/>
      <c r="L292" s="599"/>
    </row>
    <row r="293" spans="1:19" s="243" customFormat="1" ht="13.5" customHeight="1">
      <c r="A293" s="239">
        <v>41</v>
      </c>
      <c r="B293" s="240" t="s">
        <v>258</v>
      </c>
      <c r="C293" s="241" t="s">
        <v>259</v>
      </c>
      <c r="D293" s="241" t="s">
        <v>502</v>
      </c>
      <c r="E293" s="241" t="s">
        <v>23</v>
      </c>
      <c r="F293" s="236">
        <f>SUM(F294:F294)</f>
        <v>1</v>
      </c>
      <c r="G293" s="242">
        <v>300000</v>
      </c>
      <c r="H293" s="133">
        <f>F293*G293</f>
        <v>300000</v>
      </c>
      <c r="I293" s="99" t="s">
        <v>49</v>
      </c>
      <c r="J293" s="600"/>
      <c r="L293" s="601"/>
      <c r="M293" s="602"/>
    </row>
    <row r="294" spans="1:19" s="243" customFormat="1" ht="13.5" customHeight="1">
      <c r="A294" s="244"/>
      <c r="B294" s="245"/>
      <c r="C294" s="245"/>
      <c r="D294" s="179" t="s">
        <v>260</v>
      </c>
      <c r="E294" s="178"/>
      <c r="F294" s="246">
        <v>1</v>
      </c>
      <c r="G294" s="247"/>
      <c r="H294" s="247"/>
      <c r="I294" s="248"/>
      <c r="J294" s="249"/>
      <c r="L294" s="603"/>
      <c r="N294" s="604"/>
      <c r="R294" s="602"/>
    </row>
    <row r="295" spans="1:19" s="92" customFormat="1" ht="13.5" customHeight="1">
      <c r="A295" s="170"/>
      <c r="B295" s="89"/>
      <c r="C295" s="89"/>
      <c r="D295" s="80" t="s">
        <v>80</v>
      </c>
      <c r="E295" s="89"/>
      <c r="F295" s="142"/>
      <c r="G295" s="91"/>
      <c r="H295" s="91"/>
      <c r="I295" s="176"/>
    </row>
    <row r="296" spans="1:19" s="92" customFormat="1" ht="27" customHeight="1">
      <c r="A296" s="170"/>
      <c r="B296" s="89"/>
      <c r="C296" s="89"/>
      <c r="D296" s="158" t="s">
        <v>261</v>
      </c>
      <c r="E296" s="89"/>
      <c r="F296" s="142"/>
      <c r="G296" s="91"/>
      <c r="H296" s="91"/>
      <c r="I296" s="176"/>
    </row>
    <row r="297" spans="1:19" s="92" customFormat="1" ht="13.5" customHeight="1">
      <c r="A297" s="170"/>
      <c r="B297" s="89"/>
      <c r="C297" s="89"/>
      <c r="D297" s="158" t="s">
        <v>262</v>
      </c>
      <c r="E297" s="89"/>
      <c r="F297" s="142"/>
      <c r="G297" s="91"/>
      <c r="H297" s="91"/>
      <c r="I297" s="176"/>
    </row>
    <row r="298" spans="1:19" s="92" customFormat="1" ht="13.5" customHeight="1">
      <c r="A298" s="170"/>
      <c r="B298" s="89"/>
      <c r="C298" s="89"/>
      <c r="D298" s="158" t="s">
        <v>263</v>
      </c>
      <c r="E298" s="89"/>
      <c r="F298" s="142"/>
      <c r="G298" s="91"/>
      <c r="H298" s="91"/>
      <c r="I298" s="176"/>
    </row>
    <row r="299" spans="1:19" s="92" customFormat="1" ht="13.5" customHeight="1">
      <c r="A299" s="170"/>
      <c r="B299" s="89"/>
      <c r="C299" s="89"/>
      <c r="D299" s="158" t="s">
        <v>264</v>
      </c>
      <c r="E299" s="89"/>
      <c r="F299" s="142"/>
      <c r="G299" s="91"/>
      <c r="H299" s="91"/>
      <c r="I299" s="176"/>
    </row>
    <row r="300" spans="1:19" s="112" customFormat="1" ht="13.5" customHeight="1">
      <c r="A300" s="171"/>
      <c r="B300" s="158"/>
      <c r="C300" s="158"/>
      <c r="D300" s="158" t="s">
        <v>265</v>
      </c>
      <c r="E300" s="158"/>
      <c r="F300" s="113"/>
      <c r="G300" s="172"/>
      <c r="H300" s="172"/>
      <c r="I300" s="173"/>
      <c r="J300" s="567"/>
      <c r="S300" s="605"/>
    </row>
    <row r="301" spans="1:19" s="112" customFormat="1" ht="13.5" customHeight="1">
      <c r="A301" s="171"/>
      <c r="B301" s="158"/>
      <c r="C301" s="158"/>
      <c r="D301" s="158" t="s">
        <v>266</v>
      </c>
      <c r="E301" s="158"/>
      <c r="F301" s="113"/>
      <c r="G301" s="172"/>
      <c r="H301" s="172"/>
      <c r="I301" s="173"/>
      <c r="J301" s="567"/>
      <c r="S301" s="605"/>
    </row>
    <row r="302" spans="1:19" s="112" customFormat="1" ht="13.5" customHeight="1">
      <c r="A302" s="171"/>
      <c r="B302" s="158"/>
      <c r="C302" s="158"/>
      <c r="D302" s="80" t="s">
        <v>267</v>
      </c>
      <c r="E302" s="158"/>
      <c r="F302" s="113"/>
      <c r="G302" s="172"/>
      <c r="H302" s="172"/>
      <c r="I302" s="173"/>
    </row>
    <row r="303" spans="1:19" s="112" customFormat="1" ht="13.5" customHeight="1">
      <c r="A303" s="171"/>
      <c r="B303" s="158"/>
      <c r="C303" s="158"/>
      <c r="D303" s="158" t="s">
        <v>133</v>
      </c>
      <c r="E303" s="158"/>
      <c r="F303" s="113"/>
      <c r="G303" s="172"/>
      <c r="H303" s="172"/>
      <c r="I303" s="173"/>
    </row>
    <row r="304" spans="1:19" s="100" customFormat="1" ht="13.5" customHeight="1">
      <c r="A304" s="423">
        <v>42</v>
      </c>
      <c r="B304" s="424" t="s">
        <v>258</v>
      </c>
      <c r="C304" s="425" t="s">
        <v>657</v>
      </c>
      <c r="D304" s="426" t="s">
        <v>543</v>
      </c>
      <c r="E304" s="426" t="s">
        <v>23</v>
      </c>
      <c r="F304" s="427">
        <f>SUM(F305:F306)</f>
        <v>1</v>
      </c>
      <c r="G304" s="242">
        <v>150000</v>
      </c>
      <c r="H304" s="133">
        <f>F304*G304</f>
        <v>150000</v>
      </c>
      <c r="I304" s="99" t="s">
        <v>49</v>
      </c>
      <c r="J304" s="641"/>
      <c r="K304" s="606"/>
    </row>
    <row r="305" spans="1:19" s="100" customFormat="1" ht="40.5" customHeight="1">
      <c r="A305" s="423"/>
      <c r="B305" s="424"/>
      <c r="C305" s="426"/>
      <c r="D305" s="428" t="s">
        <v>544</v>
      </c>
      <c r="E305" s="426"/>
      <c r="F305" s="429">
        <v>1</v>
      </c>
      <c r="G305" s="430"/>
      <c r="H305" s="430"/>
      <c r="I305" s="430"/>
      <c r="J305" s="642"/>
      <c r="K305" s="606"/>
    </row>
    <row r="306" spans="1:19" s="100" customFormat="1" ht="13.5" customHeight="1">
      <c r="A306" s="423"/>
      <c r="B306" s="424"/>
      <c r="C306" s="426"/>
      <c r="D306" s="428" t="s">
        <v>545</v>
      </c>
      <c r="E306" s="426"/>
      <c r="F306" s="429"/>
      <c r="G306" s="430"/>
      <c r="H306" s="430"/>
      <c r="I306" s="430"/>
      <c r="J306" s="642"/>
      <c r="K306" s="643"/>
    </row>
    <row r="307" spans="1:19" s="92" customFormat="1" ht="67.5" customHeight="1">
      <c r="A307" s="431"/>
      <c r="B307" s="432"/>
      <c r="C307" s="432"/>
      <c r="D307" s="412" t="s">
        <v>57</v>
      </c>
      <c r="E307" s="432"/>
      <c r="F307" s="433"/>
      <c r="G307" s="434"/>
      <c r="H307" s="434"/>
      <c r="I307" s="434"/>
      <c r="J307" s="644"/>
    </row>
    <row r="308" spans="1:19" s="100" customFormat="1" ht="13.5" customHeight="1">
      <c r="A308" s="96">
        <v>43</v>
      </c>
      <c r="B308" s="97" t="s">
        <v>54</v>
      </c>
      <c r="C308" s="97" t="s">
        <v>268</v>
      </c>
      <c r="D308" s="97" t="s">
        <v>269</v>
      </c>
      <c r="E308" s="97" t="s">
        <v>44</v>
      </c>
      <c r="F308" s="236">
        <f>SUM(F309:F309)</f>
        <v>20</v>
      </c>
      <c r="G308" s="106">
        <v>429</v>
      </c>
      <c r="H308" s="133">
        <f>F308*G308</f>
        <v>8580</v>
      </c>
      <c r="I308" s="99" t="s">
        <v>45</v>
      </c>
    </row>
    <row r="309" spans="1:19" s="100" customFormat="1" ht="13.5" customHeight="1">
      <c r="A309" s="102"/>
      <c r="B309" s="103"/>
      <c r="C309" s="103"/>
      <c r="D309" s="101" t="s">
        <v>270</v>
      </c>
      <c r="E309" s="103"/>
      <c r="F309" s="113">
        <v>20</v>
      </c>
      <c r="G309" s="110"/>
      <c r="H309" s="106"/>
      <c r="I309" s="109"/>
    </row>
    <row r="310" spans="1:19" s="100" customFormat="1" ht="13.5" customHeight="1">
      <c r="A310" s="102"/>
      <c r="B310" s="103"/>
      <c r="C310" s="103"/>
      <c r="D310" s="101" t="s">
        <v>64</v>
      </c>
      <c r="E310" s="103"/>
      <c r="F310" s="113"/>
      <c r="G310" s="110"/>
      <c r="H310" s="106"/>
      <c r="I310" s="109"/>
    </row>
    <row r="311" spans="1:19" s="100" customFormat="1" ht="13.5" customHeight="1">
      <c r="A311" s="146"/>
      <c r="B311" s="147"/>
      <c r="C311" s="147">
        <v>766</v>
      </c>
      <c r="D311" s="147" t="s">
        <v>95</v>
      </c>
      <c r="E311" s="147"/>
      <c r="F311" s="148"/>
      <c r="G311" s="149"/>
      <c r="H311" s="149">
        <f>SUM(H312:H343)</f>
        <v>821600</v>
      </c>
      <c r="I311" s="163"/>
      <c r="J311" s="598"/>
      <c r="L311" s="599"/>
    </row>
    <row r="312" spans="1:19" s="243" customFormat="1" ht="13.5" customHeight="1">
      <c r="A312" s="239">
        <v>44</v>
      </c>
      <c r="B312" s="240">
        <v>766</v>
      </c>
      <c r="C312" s="241" t="s">
        <v>277</v>
      </c>
      <c r="D312" s="241" t="s">
        <v>278</v>
      </c>
      <c r="E312" s="241" t="s">
        <v>23</v>
      </c>
      <c r="F312" s="236">
        <f>SUM(F314:F314)</f>
        <v>1</v>
      </c>
      <c r="G312" s="242">
        <v>400000</v>
      </c>
      <c r="H312" s="133">
        <f>F312*G312</f>
        <v>400000</v>
      </c>
      <c r="I312" s="196" t="s">
        <v>49</v>
      </c>
      <c r="J312" s="100"/>
      <c r="K312" s="606"/>
      <c r="L312" s="601"/>
      <c r="M312" s="602"/>
    </row>
    <row r="313" spans="1:19" s="243" customFormat="1" ht="13.5" customHeight="1">
      <c r="A313" s="239"/>
      <c r="B313" s="240"/>
      <c r="C313" s="241"/>
      <c r="D313" s="250" t="s">
        <v>279</v>
      </c>
      <c r="E313" s="241"/>
      <c r="F313" s="246"/>
      <c r="G313" s="242"/>
      <c r="H313" s="242"/>
      <c r="I313" s="196"/>
      <c r="J313" s="100"/>
      <c r="K313" s="607"/>
      <c r="L313" s="601"/>
    </row>
    <row r="314" spans="1:19" s="243" customFormat="1" ht="13.5" customHeight="1">
      <c r="A314" s="239"/>
      <c r="B314" s="240"/>
      <c r="C314" s="241"/>
      <c r="D314" s="250" t="s">
        <v>557</v>
      </c>
      <c r="E314" s="241"/>
      <c r="F314" s="246">
        <v>1</v>
      </c>
      <c r="G314" s="242"/>
      <c r="H314" s="242"/>
      <c r="I314" s="196"/>
      <c r="J314" s="100"/>
      <c r="K314" s="607"/>
      <c r="L314" s="601"/>
    </row>
    <row r="315" spans="1:19" s="92" customFormat="1" ht="13.5" customHeight="1">
      <c r="A315" s="170"/>
      <c r="B315" s="89"/>
      <c r="C315" s="89"/>
      <c r="D315" s="80" t="s">
        <v>80</v>
      </c>
      <c r="E315" s="89"/>
      <c r="F315" s="142"/>
      <c r="G315" s="91"/>
      <c r="H315" s="91"/>
      <c r="I315" s="176"/>
      <c r="J315" s="100"/>
      <c r="K315" s="258"/>
    </row>
    <row r="316" spans="1:19" s="233" customFormat="1" ht="13.5" customHeight="1">
      <c r="A316" s="230"/>
      <c r="B316" s="231"/>
      <c r="C316" s="231"/>
      <c r="D316" s="231" t="s">
        <v>280</v>
      </c>
      <c r="E316" s="231"/>
      <c r="F316" s="207"/>
      <c r="G316" s="232"/>
      <c r="H316" s="232"/>
      <c r="I316" s="234"/>
      <c r="J316" s="100"/>
      <c r="K316" s="258"/>
    </row>
    <row r="317" spans="1:19" s="233" customFormat="1" ht="27" customHeight="1">
      <c r="A317" s="230"/>
      <c r="B317" s="231"/>
      <c r="C317" s="231"/>
      <c r="D317" s="231" t="s">
        <v>281</v>
      </c>
      <c r="E317" s="231"/>
      <c r="F317" s="207"/>
      <c r="G317" s="232"/>
      <c r="H317" s="232"/>
      <c r="I317" s="234"/>
      <c r="J317" s="591"/>
      <c r="S317" s="592"/>
    </row>
    <row r="318" spans="1:19" s="233" customFormat="1" ht="13.5" customHeight="1">
      <c r="A318" s="230"/>
      <c r="B318" s="231"/>
      <c r="C318" s="231"/>
      <c r="D318" s="231" t="s">
        <v>133</v>
      </c>
      <c r="E318" s="231"/>
      <c r="F318" s="207"/>
      <c r="G318" s="232"/>
      <c r="H318" s="232"/>
      <c r="I318" s="234"/>
    </row>
    <row r="319" spans="1:19" s="243" customFormat="1" ht="13.5" customHeight="1">
      <c r="A319" s="239">
        <v>45</v>
      </c>
      <c r="B319" s="240">
        <v>766</v>
      </c>
      <c r="C319" s="241" t="s">
        <v>282</v>
      </c>
      <c r="D319" s="241" t="s">
        <v>558</v>
      </c>
      <c r="E319" s="241" t="s">
        <v>23</v>
      </c>
      <c r="F319" s="236">
        <f>SUM(F320:F320)</f>
        <v>1</v>
      </c>
      <c r="G319" s="242">
        <v>290000</v>
      </c>
      <c r="H319" s="133">
        <f>F319*G319</f>
        <v>290000</v>
      </c>
      <c r="I319" s="196" t="s">
        <v>49</v>
      </c>
      <c r="J319" s="100"/>
      <c r="K319" s="608"/>
      <c r="L319" s="601"/>
      <c r="M319" s="602"/>
    </row>
    <row r="320" spans="1:19" s="243" customFormat="1" ht="13.5" customHeight="1">
      <c r="A320" s="239"/>
      <c r="B320" s="240"/>
      <c r="C320" s="241"/>
      <c r="D320" s="250" t="s">
        <v>283</v>
      </c>
      <c r="E320" s="241"/>
      <c r="F320" s="246">
        <v>1</v>
      </c>
      <c r="G320" s="242"/>
      <c r="H320" s="242"/>
      <c r="I320" s="196"/>
      <c r="J320" s="600"/>
      <c r="L320" s="601"/>
    </row>
    <row r="321" spans="1:19" s="92" customFormat="1" ht="13.5" customHeight="1">
      <c r="A321" s="170"/>
      <c r="B321" s="89"/>
      <c r="C321" s="89"/>
      <c r="D321" s="80" t="s">
        <v>80</v>
      </c>
      <c r="E321" s="89"/>
      <c r="F321" s="142"/>
      <c r="G321" s="91"/>
      <c r="H321" s="91"/>
      <c r="I321" s="176"/>
    </row>
    <row r="322" spans="1:19" s="233" customFormat="1" ht="13.5" customHeight="1">
      <c r="A322" s="230"/>
      <c r="B322" s="231"/>
      <c r="C322" s="231"/>
      <c r="D322" s="231" t="s">
        <v>284</v>
      </c>
      <c r="E322" s="231"/>
      <c r="F322" s="207"/>
      <c r="G322" s="232"/>
      <c r="H322" s="232"/>
      <c r="I322" s="234"/>
    </row>
    <row r="323" spans="1:19" s="233" customFormat="1" ht="27" customHeight="1">
      <c r="A323" s="230"/>
      <c r="B323" s="231"/>
      <c r="C323" s="231"/>
      <c r="D323" s="231" t="s">
        <v>285</v>
      </c>
      <c r="E323" s="231"/>
      <c r="F323" s="207"/>
      <c r="G323" s="232"/>
      <c r="H323" s="232"/>
      <c r="I323" s="234"/>
      <c r="J323" s="591"/>
      <c r="S323" s="592"/>
    </row>
    <row r="324" spans="1:19" s="233" customFormat="1" ht="13.5" customHeight="1">
      <c r="A324" s="230"/>
      <c r="B324" s="231"/>
      <c r="C324" s="231"/>
      <c r="D324" s="231" t="s">
        <v>133</v>
      </c>
      <c r="E324" s="231"/>
      <c r="F324" s="207"/>
      <c r="G324" s="232"/>
      <c r="H324" s="232"/>
      <c r="I324" s="234"/>
    </row>
    <row r="325" spans="1:19" s="243" customFormat="1" ht="13.5" customHeight="1">
      <c r="A325" s="239">
        <v>46</v>
      </c>
      <c r="B325" s="240">
        <v>766</v>
      </c>
      <c r="C325" s="241" t="s">
        <v>287</v>
      </c>
      <c r="D325" s="241" t="s">
        <v>503</v>
      </c>
      <c r="E325" s="241" t="s">
        <v>23</v>
      </c>
      <c r="F325" s="236">
        <f>SUM(F326:F326)</f>
        <v>1</v>
      </c>
      <c r="G325" s="242">
        <v>40000</v>
      </c>
      <c r="H325" s="133">
        <f>F325*G325</f>
        <v>40000</v>
      </c>
      <c r="I325" s="196" t="s">
        <v>49</v>
      </c>
      <c r="J325" s="600"/>
      <c r="K325" s="608"/>
      <c r="L325" s="601"/>
      <c r="M325" s="602"/>
    </row>
    <row r="326" spans="1:19" s="243" customFormat="1" ht="13.5" customHeight="1">
      <c r="A326" s="239"/>
      <c r="B326" s="240"/>
      <c r="C326" s="241"/>
      <c r="D326" s="250" t="s">
        <v>286</v>
      </c>
      <c r="E326" s="241"/>
      <c r="F326" s="246">
        <v>1</v>
      </c>
      <c r="G326" s="242"/>
      <c r="H326" s="242"/>
      <c r="I326" s="196"/>
      <c r="J326" s="600"/>
      <c r="L326" s="601"/>
    </row>
    <row r="327" spans="1:19" s="92" customFormat="1" ht="13.5" customHeight="1">
      <c r="A327" s="170"/>
      <c r="B327" s="89"/>
      <c r="C327" s="89"/>
      <c r="D327" s="80" t="s">
        <v>80</v>
      </c>
      <c r="E327" s="89"/>
      <c r="F327" s="142"/>
      <c r="G327" s="91"/>
      <c r="H327" s="91"/>
      <c r="I327" s="176"/>
    </row>
    <row r="328" spans="1:19" s="233" customFormat="1" ht="13.5" customHeight="1">
      <c r="A328" s="230"/>
      <c r="B328" s="231"/>
      <c r="C328" s="231"/>
      <c r="D328" s="231" t="s">
        <v>284</v>
      </c>
      <c r="E328" s="231"/>
      <c r="F328" s="207"/>
      <c r="G328" s="232"/>
      <c r="H328" s="232"/>
      <c r="I328" s="234"/>
    </row>
    <row r="329" spans="1:19" s="233" customFormat="1" ht="27" customHeight="1">
      <c r="A329" s="230"/>
      <c r="B329" s="231"/>
      <c r="C329" s="231"/>
      <c r="D329" s="231" t="s">
        <v>285</v>
      </c>
      <c r="E329" s="231"/>
      <c r="F329" s="207"/>
      <c r="G329" s="232"/>
      <c r="H329" s="232"/>
      <c r="I329" s="234"/>
      <c r="J329" s="591"/>
      <c r="S329" s="592"/>
    </row>
    <row r="330" spans="1:19" s="233" customFormat="1" ht="13.5" customHeight="1">
      <c r="A330" s="230"/>
      <c r="B330" s="231"/>
      <c r="C330" s="231"/>
      <c r="D330" s="231" t="s">
        <v>133</v>
      </c>
      <c r="E330" s="231"/>
      <c r="F330" s="207"/>
      <c r="G330" s="232"/>
      <c r="H330" s="232"/>
      <c r="I330" s="234"/>
    </row>
    <row r="331" spans="1:19" s="243" customFormat="1" ht="13.5" customHeight="1">
      <c r="A331" s="239">
        <v>47</v>
      </c>
      <c r="B331" s="240" t="s">
        <v>288</v>
      </c>
      <c r="C331" s="241" t="s">
        <v>289</v>
      </c>
      <c r="D331" s="241" t="s">
        <v>290</v>
      </c>
      <c r="E331" s="241" t="s">
        <v>23</v>
      </c>
      <c r="F331" s="236">
        <f>SUM(F332:F332)</f>
        <v>1</v>
      </c>
      <c r="G331" s="242">
        <v>80000</v>
      </c>
      <c r="H331" s="133">
        <f>F331*G331</f>
        <v>80000</v>
      </c>
      <c r="I331" s="196" t="s">
        <v>49</v>
      </c>
      <c r="J331" s="600"/>
      <c r="L331" s="601"/>
      <c r="M331" s="602"/>
    </row>
    <row r="332" spans="1:19" s="243" customFormat="1" ht="13.5" customHeight="1">
      <c r="A332" s="244"/>
      <c r="B332" s="245"/>
      <c r="C332" s="245"/>
      <c r="D332" s="179" t="s">
        <v>291</v>
      </c>
      <c r="E332" s="178"/>
      <c r="F332" s="246">
        <v>1</v>
      </c>
      <c r="G332" s="247"/>
      <c r="H332" s="247"/>
      <c r="I332" s="248"/>
      <c r="J332" s="249"/>
      <c r="L332" s="603"/>
      <c r="N332" s="604"/>
      <c r="R332" s="602"/>
    </row>
    <row r="333" spans="1:19" s="92" customFormat="1" ht="13.5" customHeight="1">
      <c r="A333" s="170"/>
      <c r="B333" s="89"/>
      <c r="C333" s="89"/>
      <c r="D333" s="80" t="s">
        <v>80</v>
      </c>
      <c r="E333" s="89"/>
      <c r="F333" s="142"/>
      <c r="G333" s="91"/>
      <c r="H333" s="91"/>
      <c r="I333" s="176"/>
    </row>
    <row r="334" spans="1:19" s="233" customFormat="1" ht="13.5" customHeight="1">
      <c r="A334" s="230"/>
      <c r="B334" s="231"/>
      <c r="C334" s="231"/>
      <c r="D334" s="231" t="s">
        <v>292</v>
      </c>
      <c r="E334" s="231"/>
      <c r="F334" s="207"/>
      <c r="G334" s="232"/>
      <c r="H334" s="232"/>
      <c r="I334" s="234"/>
    </row>
    <row r="335" spans="1:19" s="233" customFormat="1" ht="13.5" customHeight="1">
      <c r="A335" s="230"/>
      <c r="B335" s="231"/>
      <c r="C335" s="231"/>
      <c r="D335" s="231" t="s">
        <v>293</v>
      </c>
      <c r="E335" s="231"/>
      <c r="F335" s="207"/>
      <c r="G335" s="232"/>
      <c r="H335" s="232"/>
      <c r="I335" s="234"/>
      <c r="J335" s="591"/>
      <c r="S335" s="592"/>
    </row>
    <row r="336" spans="1:19" s="233" customFormat="1" ht="13.5" customHeight="1">
      <c r="A336" s="230"/>
      <c r="B336" s="231"/>
      <c r="C336" s="231"/>
      <c r="D336" s="231" t="s">
        <v>294</v>
      </c>
      <c r="E336" s="231"/>
      <c r="F336" s="207"/>
      <c r="G336" s="232"/>
      <c r="H336" s="232"/>
      <c r="I336" s="234"/>
    </row>
    <row r="337" spans="1:19" s="233" customFormat="1" ht="13.5" customHeight="1">
      <c r="A337" s="230"/>
      <c r="B337" s="231"/>
      <c r="C337" s="231"/>
      <c r="D337" s="231" t="s">
        <v>295</v>
      </c>
      <c r="E337" s="231"/>
      <c r="F337" s="207"/>
      <c r="G337" s="232"/>
      <c r="H337" s="232"/>
      <c r="I337" s="234"/>
      <c r="J337" s="591"/>
      <c r="S337" s="592"/>
    </row>
    <row r="338" spans="1:19" s="233" customFormat="1" ht="27" customHeight="1">
      <c r="A338" s="230"/>
      <c r="B338" s="231"/>
      <c r="C338" s="231"/>
      <c r="D338" s="80" t="s">
        <v>296</v>
      </c>
      <c r="E338" s="231"/>
      <c r="F338" s="207"/>
      <c r="G338" s="232"/>
      <c r="H338" s="232"/>
      <c r="I338" s="234"/>
    </row>
    <row r="339" spans="1:19" s="233" customFormat="1" ht="13.5" customHeight="1">
      <c r="A339" s="230"/>
      <c r="B339" s="231"/>
      <c r="C339" s="231"/>
      <c r="D339" s="80" t="s">
        <v>297</v>
      </c>
      <c r="E339" s="231"/>
      <c r="F339" s="207"/>
      <c r="G339" s="232"/>
      <c r="H339" s="232"/>
      <c r="I339" s="234"/>
      <c r="J339" s="609"/>
    </row>
    <row r="340" spans="1:19" s="233" customFormat="1" ht="13.5" customHeight="1">
      <c r="A340" s="230"/>
      <c r="B340" s="231"/>
      <c r="C340" s="231"/>
      <c r="D340" s="231" t="s">
        <v>133</v>
      </c>
      <c r="E340" s="231"/>
      <c r="F340" s="207"/>
      <c r="G340" s="232"/>
      <c r="H340" s="232"/>
      <c r="I340" s="234"/>
    </row>
    <row r="341" spans="1:19" s="216" customFormat="1" ht="13.5" customHeight="1">
      <c r="A341" s="213">
        <v>48</v>
      </c>
      <c r="B341" s="73" t="s">
        <v>54</v>
      </c>
      <c r="C341" s="73" t="s">
        <v>298</v>
      </c>
      <c r="D341" s="73" t="s">
        <v>299</v>
      </c>
      <c r="E341" s="73" t="s">
        <v>44</v>
      </c>
      <c r="F341" s="236">
        <f>SUM(F342:F342)</f>
        <v>25</v>
      </c>
      <c r="G341" s="215">
        <v>464</v>
      </c>
      <c r="H341" s="133">
        <f>F341*G341</f>
        <v>11600</v>
      </c>
      <c r="I341" s="251" t="s">
        <v>45</v>
      </c>
    </row>
    <row r="342" spans="1:19" s="78" customFormat="1" ht="13.5" customHeight="1">
      <c r="A342" s="217"/>
      <c r="B342" s="218"/>
      <c r="C342" s="218"/>
      <c r="D342" s="76" t="s">
        <v>300</v>
      </c>
      <c r="E342" s="218"/>
      <c r="F342" s="207">
        <v>25</v>
      </c>
      <c r="G342" s="220"/>
      <c r="H342" s="215"/>
      <c r="I342" s="212"/>
    </row>
    <row r="343" spans="1:19" s="78" customFormat="1" ht="13.5" customHeight="1">
      <c r="A343" s="217"/>
      <c r="B343" s="218"/>
      <c r="C343" s="218"/>
      <c r="D343" s="76" t="s">
        <v>64</v>
      </c>
      <c r="E343" s="218"/>
      <c r="F343" s="207"/>
      <c r="G343" s="220"/>
      <c r="H343" s="215"/>
      <c r="I343" s="212"/>
    </row>
    <row r="344" spans="1:19" s="100" customFormat="1" ht="13.5" customHeight="1">
      <c r="A344" s="146"/>
      <c r="B344" s="147"/>
      <c r="C344" s="147">
        <v>767</v>
      </c>
      <c r="D344" s="147" t="s">
        <v>96</v>
      </c>
      <c r="E344" s="147"/>
      <c r="F344" s="148"/>
      <c r="G344" s="149"/>
      <c r="H344" s="149">
        <f>SUM(H345:H360)</f>
        <v>456960</v>
      </c>
      <c r="I344" s="163"/>
      <c r="J344" s="598"/>
      <c r="L344" s="599"/>
    </row>
    <row r="345" spans="1:19" s="243" customFormat="1" ht="13.5" customHeight="1">
      <c r="A345" s="239">
        <v>49</v>
      </c>
      <c r="B345" s="240" t="s">
        <v>301</v>
      </c>
      <c r="C345" s="241" t="s">
        <v>302</v>
      </c>
      <c r="D345" s="241" t="s">
        <v>602</v>
      </c>
      <c r="E345" s="241" t="s">
        <v>23</v>
      </c>
      <c r="F345" s="236">
        <f>SUM(F346:F346)</f>
        <v>1</v>
      </c>
      <c r="G345" s="242">
        <v>140000</v>
      </c>
      <c r="H345" s="133">
        <f>F345*G345</f>
        <v>140000</v>
      </c>
      <c r="I345" s="99" t="s">
        <v>49</v>
      </c>
      <c r="J345" s="600"/>
      <c r="L345" s="601"/>
      <c r="M345" s="602"/>
    </row>
    <row r="346" spans="1:19" s="243" customFormat="1" ht="13.5" customHeight="1">
      <c r="A346" s="244"/>
      <c r="B346" s="245"/>
      <c r="C346" s="245"/>
      <c r="D346" s="179" t="s">
        <v>303</v>
      </c>
      <c r="E346" s="178"/>
      <c r="F346" s="246">
        <v>1</v>
      </c>
      <c r="G346" s="247"/>
      <c r="H346" s="247"/>
      <c r="I346" s="248"/>
      <c r="J346" s="249"/>
      <c r="L346" s="603"/>
      <c r="N346" s="604"/>
      <c r="R346" s="602"/>
    </row>
    <row r="347" spans="1:19" s="243" customFormat="1" ht="13.5" customHeight="1">
      <c r="A347" s="239">
        <v>50</v>
      </c>
      <c r="B347" s="240" t="s">
        <v>301</v>
      </c>
      <c r="C347" s="241" t="s">
        <v>658</v>
      </c>
      <c r="D347" s="241" t="s">
        <v>546</v>
      </c>
      <c r="E347" s="241" t="s">
        <v>23</v>
      </c>
      <c r="F347" s="236">
        <f>SUM(F348:F348)</f>
        <v>1</v>
      </c>
      <c r="G347" s="242">
        <v>310000</v>
      </c>
      <c r="H347" s="133">
        <f>F347*G347</f>
        <v>310000</v>
      </c>
      <c r="I347" s="99" t="s">
        <v>49</v>
      </c>
      <c r="J347" s="600"/>
      <c r="L347" s="601"/>
      <c r="M347" s="602"/>
    </row>
    <row r="348" spans="1:19" s="243" customFormat="1" ht="13.5" customHeight="1">
      <c r="A348" s="244"/>
      <c r="B348" s="245"/>
      <c r="C348" s="245"/>
      <c r="D348" s="179" t="s">
        <v>303</v>
      </c>
      <c r="E348" s="178"/>
      <c r="F348" s="246">
        <v>1</v>
      </c>
      <c r="G348" s="247"/>
      <c r="H348" s="247"/>
      <c r="I348" s="248"/>
      <c r="J348" s="249"/>
      <c r="L348" s="603"/>
      <c r="N348" s="604"/>
      <c r="R348" s="602"/>
    </row>
    <row r="349" spans="1:19" s="92" customFormat="1" ht="13.5" customHeight="1">
      <c r="A349" s="170"/>
      <c r="B349" s="89"/>
      <c r="C349" s="89"/>
      <c r="D349" s="80" t="s">
        <v>80</v>
      </c>
      <c r="E349" s="89"/>
      <c r="F349" s="142"/>
      <c r="G349" s="91"/>
      <c r="H349" s="91"/>
      <c r="I349" s="176"/>
      <c r="J349" s="600"/>
    </row>
    <row r="350" spans="1:19" s="112" customFormat="1" ht="13.5" customHeight="1">
      <c r="A350" s="171"/>
      <c r="B350" s="158"/>
      <c r="C350" s="158"/>
      <c r="D350" s="158" t="s">
        <v>304</v>
      </c>
      <c r="E350" s="158"/>
      <c r="F350" s="113"/>
      <c r="G350" s="172"/>
      <c r="H350" s="172"/>
      <c r="I350" s="173"/>
    </row>
    <row r="351" spans="1:19" s="112" customFormat="1" ht="13.5" customHeight="1">
      <c r="A351" s="171"/>
      <c r="B351" s="158"/>
      <c r="C351" s="158"/>
      <c r="D351" s="158" t="s">
        <v>305</v>
      </c>
      <c r="E351" s="158"/>
      <c r="F351" s="113"/>
      <c r="G351" s="172"/>
      <c r="H351" s="172"/>
      <c r="I351" s="173"/>
      <c r="J351" s="567"/>
      <c r="S351" s="605"/>
    </row>
    <row r="352" spans="1:19" s="112" customFormat="1" ht="13.5" customHeight="1">
      <c r="A352" s="171"/>
      <c r="B352" s="158"/>
      <c r="C352" s="158"/>
      <c r="D352" s="80" t="s">
        <v>306</v>
      </c>
      <c r="E352" s="158"/>
      <c r="F352" s="113"/>
      <c r="G352" s="172"/>
      <c r="H352" s="172"/>
      <c r="I352" s="173"/>
    </row>
    <row r="353" spans="1:13" s="112" customFormat="1" ht="13.5" customHeight="1">
      <c r="A353" s="171"/>
      <c r="B353" s="158"/>
      <c r="C353" s="158"/>
      <c r="D353" s="80" t="s">
        <v>307</v>
      </c>
      <c r="E353" s="158"/>
      <c r="F353" s="113"/>
      <c r="G353" s="172"/>
      <c r="H353" s="172"/>
      <c r="I353" s="173"/>
    </row>
    <row r="354" spans="1:13" s="112" customFormat="1" ht="13.5" customHeight="1">
      <c r="A354" s="171"/>
      <c r="B354" s="158"/>
      <c r="C354" s="158"/>
      <c r="D354" s="80" t="s">
        <v>379</v>
      </c>
      <c r="E354" s="158"/>
      <c r="F354" s="113"/>
      <c r="G354" s="172"/>
      <c r="H354" s="172"/>
      <c r="I354" s="173"/>
    </row>
    <row r="355" spans="1:13" s="112" customFormat="1" ht="13.5" customHeight="1">
      <c r="A355" s="171"/>
      <c r="B355" s="158"/>
      <c r="C355" s="158"/>
      <c r="D355" s="80" t="s">
        <v>308</v>
      </c>
      <c r="E355" s="158"/>
      <c r="F355" s="113"/>
      <c r="G355" s="172"/>
      <c r="H355" s="172"/>
      <c r="I355" s="173"/>
    </row>
    <row r="356" spans="1:13" s="112" customFormat="1" ht="13.5" customHeight="1">
      <c r="A356" s="171"/>
      <c r="B356" s="158"/>
      <c r="C356" s="158"/>
      <c r="D356" s="80" t="s">
        <v>309</v>
      </c>
      <c r="E356" s="158"/>
      <c r="F356" s="113"/>
      <c r="G356" s="172"/>
      <c r="H356" s="172"/>
      <c r="I356" s="173"/>
    </row>
    <row r="357" spans="1:13" s="112" customFormat="1" ht="13.5" customHeight="1">
      <c r="A357" s="171"/>
      <c r="B357" s="158"/>
      <c r="C357" s="158"/>
      <c r="D357" s="158" t="s">
        <v>133</v>
      </c>
      <c r="E357" s="158"/>
      <c r="F357" s="113"/>
      <c r="G357" s="172"/>
      <c r="H357" s="172"/>
      <c r="I357" s="173"/>
    </row>
    <row r="358" spans="1:13" s="100" customFormat="1" ht="13.5" customHeight="1">
      <c r="A358" s="96">
        <v>51</v>
      </c>
      <c r="B358" s="97" t="s">
        <v>54</v>
      </c>
      <c r="C358" s="97" t="s">
        <v>310</v>
      </c>
      <c r="D358" s="97" t="s">
        <v>311</v>
      </c>
      <c r="E358" s="97" t="s">
        <v>44</v>
      </c>
      <c r="F358" s="236">
        <f>SUM(F359:F359)</f>
        <v>15</v>
      </c>
      <c r="G358" s="215">
        <v>464</v>
      </c>
      <c r="H358" s="133">
        <f>F358*G358</f>
        <v>6960</v>
      </c>
      <c r="I358" s="251" t="s">
        <v>45</v>
      </c>
    </row>
    <row r="359" spans="1:13" s="100" customFormat="1" ht="13.5" customHeight="1">
      <c r="A359" s="102"/>
      <c r="B359" s="103"/>
      <c r="C359" s="103"/>
      <c r="D359" s="101" t="s">
        <v>270</v>
      </c>
      <c r="E359" s="103"/>
      <c r="F359" s="113">
        <v>15</v>
      </c>
      <c r="G359" s="110"/>
      <c r="H359" s="106"/>
      <c r="I359" s="109"/>
    </row>
    <row r="360" spans="1:13" s="100" customFormat="1" ht="13.5" customHeight="1">
      <c r="A360" s="102"/>
      <c r="B360" s="103"/>
      <c r="C360" s="103"/>
      <c r="D360" s="101" t="s">
        <v>64</v>
      </c>
      <c r="E360" s="103"/>
      <c r="F360" s="113"/>
      <c r="G360" s="110"/>
      <c r="H360" s="106"/>
      <c r="I360" s="109"/>
    </row>
    <row r="361" spans="1:13" s="88" customFormat="1" ht="13.5" customHeight="1">
      <c r="A361" s="228"/>
      <c r="B361" s="147"/>
      <c r="C361" s="147">
        <v>771</v>
      </c>
      <c r="D361" s="147" t="s">
        <v>97</v>
      </c>
      <c r="E361" s="147"/>
      <c r="F361" s="148"/>
      <c r="G361" s="148"/>
      <c r="H361" s="148">
        <f>SUM(H362:H375)</f>
        <v>40339</v>
      </c>
      <c r="I361" s="99"/>
      <c r="J361" s="610"/>
      <c r="K361" s="611"/>
      <c r="L361" s="611"/>
      <c r="M361" s="100"/>
    </row>
    <row r="362" spans="1:13" s="100" customFormat="1" ht="13.5" customHeight="1">
      <c r="A362" s="165">
        <v>52</v>
      </c>
      <c r="B362" s="97">
        <v>771</v>
      </c>
      <c r="C362" s="97" t="s">
        <v>312</v>
      </c>
      <c r="D362" s="97" t="s">
        <v>560</v>
      </c>
      <c r="E362" s="97" t="s">
        <v>48</v>
      </c>
      <c r="F362" s="98">
        <f>SUM(F363)</f>
        <v>7.9399999999999995</v>
      </c>
      <c r="G362" s="98">
        <v>4100</v>
      </c>
      <c r="H362" s="133">
        <f>F362*G362</f>
        <v>32553.999999999996</v>
      </c>
      <c r="I362" s="99" t="s">
        <v>49</v>
      </c>
      <c r="J362" s="610"/>
    </row>
    <row r="363" spans="1:13" s="100" customFormat="1" ht="13.5" customHeight="1">
      <c r="A363" s="102"/>
      <c r="B363" s="103"/>
      <c r="C363" s="103"/>
      <c r="D363" s="101" t="s">
        <v>561</v>
      </c>
      <c r="E363" s="103"/>
      <c r="F363" s="113">
        <f>2.79+1.62+1.88+1.65</f>
        <v>7.9399999999999995</v>
      </c>
      <c r="G363" s="110"/>
      <c r="H363" s="106"/>
      <c r="I363" s="440"/>
    </row>
    <row r="364" spans="1:13" s="100" customFormat="1" ht="13.5" customHeight="1">
      <c r="A364" s="102"/>
      <c r="B364" s="103"/>
      <c r="C364" s="103"/>
      <c r="D364" s="101" t="s">
        <v>80</v>
      </c>
      <c r="E364" s="103"/>
      <c r="F364" s="113"/>
      <c r="G364" s="110"/>
      <c r="H364" s="106"/>
      <c r="I364" s="440"/>
    </row>
    <row r="365" spans="1:13" s="100" customFormat="1" ht="13.5" customHeight="1">
      <c r="A365" s="441"/>
      <c r="B365" s="442"/>
      <c r="C365" s="442"/>
      <c r="D365" s="101" t="s">
        <v>640</v>
      </c>
      <c r="E365" s="442"/>
      <c r="F365" s="443"/>
      <c r="G365" s="444"/>
      <c r="H365" s="430"/>
      <c r="I365" s="445"/>
    </row>
    <row r="366" spans="1:13" s="100" customFormat="1" ht="13.5" customHeight="1">
      <c r="A366" s="102"/>
      <c r="B366" s="103"/>
      <c r="C366" s="103"/>
      <c r="D366" s="101" t="s">
        <v>313</v>
      </c>
      <c r="E366" s="103"/>
      <c r="F366" s="113"/>
      <c r="G366" s="110"/>
      <c r="H366" s="106"/>
      <c r="I366" s="109"/>
      <c r="J366" s="612"/>
    </row>
    <row r="367" spans="1:13" s="100" customFormat="1" ht="13.5" customHeight="1">
      <c r="A367" s="102"/>
      <c r="B367" s="103"/>
      <c r="C367" s="103"/>
      <c r="D367" s="101" t="s">
        <v>314</v>
      </c>
      <c r="E367" s="103"/>
      <c r="F367" s="113"/>
      <c r="G367" s="110"/>
      <c r="H367" s="106"/>
      <c r="I367" s="109"/>
    </row>
    <row r="368" spans="1:13" s="100" customFormat="1" ht="13.5" customHeight="1">
      <c r="A368" s="102"/>
      <c r="B368" s="103"/>
      <c r="C368" s="103"/>
      <c r="D368" s="101" t="s">
        <v>315</v>
      </c>
      <c r="E368" s="103"/>
      <c r="F368" s="113"/>
      <c r="G368" s="110"/>
      <c r="H368" s="106"/>
      <c r="I368" s="109"/>
    </row>
    <row r="369" spans="1:13" s="100" customFormat="1" ht="13.5" customHeight="1">
      <c r="A369" s="102"/>
      <c r="B369" s="103"/>
      <c r="C369" s="103"/>
      <c r="D369" s="101" t="s">
        <v>316</v>
      </c>
      <c r="E369" s="103"/>
      <c r="F369" s="113"/>
      <c r="G369" s="110"/>
      <c r="H369" s="106"/>
      <c r="I369" s="109"/>
    </row>
    <row r="370" spans="1:13" s="100" customFormat="1" ht="13.5" customHeight="1">
      <c r="A370" s="102"/>
      <c r="B370" s="103"/>
      <c r="C370" s="103"/>
      <c r="D370" s="101" t="s">
        <v>317</v>
      </c>
      <c r="E370" s="103"/>
      <c r="F370" s="113"/>
      <c r="G370" s="110"/>
      <c r="H370" s="106"/>
      <c r="I370" s="109"/>
    </row>
    <row r="371" spans="1:13" s="111" customFormat="1" ht="40.5" customHeight="1">
      <c r="A371" s="165"/>
      <c r="B371" s="105"/>
      <c r="C371" s="97"/>
      <c r="D371" s="101" t="s">
        <v>318</v>
      </c>
      <c r="E371" s="97"/>
      <c r="F371" s="113"/>
      <c r="G371" s="98"/>
      <c r="H371" s="98"/>
      <c r="I371" s="99"/>
      <c r="J371" s="613"/>
    </row>
    <row r="372" spans="1:13" s="111" customFormat="1" ht="13.5" customHeight="1">
      <c r="A372" s="165"/>
      <c r="B372" s="105"/>
      <c r="C372" s="97"/>
      <c r="D372" s="101" t="s">
        <v>319</v>
      </c>
      <c r="E372" s="97"/>
      <c r="F372" s="113"/>
      <c r="G372" s="98"/>
      <c r="H372" s="98"/>
      <c r="I372" s="99"/>
    </row>
    <row r="373" spans="1:13" s="100" customFormat="1" ht="13.5" customHeight="1">
      <c r="A373" s="165">
        <v>53</v>
      </c>
      <c r="B373" s="97" t="s">
        <v>54</v>
      </c>
      <c r="C373" s="97" t="s">
        <v>320</v>
      </c>
      <c r="D373" s="97" t="s">
        <v>321</v>
      </c>
      <c r="E373" s="97" t="s">
        <v>44</v>
      </c>
      <c r="F373" s="98">
        <f>F374</f>
        <v>15</v>
      </c>
      <c r="G373" s="98">
        <v>519</v>
      </c>
      <c r="H373" s="133">
        <f>F373*G373</f>
        <v>7785</v>
      </c>
      <c r="I373" s="99" t="s">
        <v>45</v>
      </c>
      <c r="J373" s="568"/>
      <c r="K373" s="568"/>
    </row>
    <row r="374" spans="1:13" s="111" customFormat="1" ht="13.5" customHeight="1">
      <c r="A374" s="165"/>
      <c r="B374" s="105"/>
      <c r="C374" s="97"/>
      <c r="D374" s="101" t="s">
        <v>322</v>
      </c>
      <c r="E374" s="97"/>
      <c r="F374" s="113">
        <v>15</v>
      </c>
      <c r="G374" s="98"/>
      <c r="H374" s="98"/>
      <c r="I374" s="99"/>
    </row>
    <row r="375" spans="1:13" s="111" customFormat="1" ht="27" customHeight="1">
      <c r="A375" s="165"/>
      <c r="B375" s="105"/>
      <c r="C375" s="97"/>
      <c r="D375" s="101" t="s">
        <v>323</v>
      </c>
      <c r="E375" s="97"/>
      <c r="F375" s="113"/>
      <c r="G375" s="98"/>
      <c r="H375" s="98"/>
      <c r="I375" s="99"/>
      <c r="J375" s="614"/>
    </row>
    <row r="376" spans="1:13" s="100" customFormat="1" ht="13.5" customHeight="1">
      <c r="A376" s="446"/>
      <c r="B376" s="147"/>
      <c r="C376" s="147">
        <v>776</v>
      </c>
      <c r="D376" s="147" t="s">
        <v>98</v>
      </c>
      <c r="E376" s="147"/>
      <c r="F376" s="148"/>
      <c r="G376" s="148"/>
      <c r="H376" s="148">
        <f>SUM(H377:H390)</f>
        <v>132548</v>
      </c>
      <c r="I376" s="109"/>
      <c r="J376" s="252"/>
      <c r="K376" s="615"/>
      <c r="M376" s="616"/>
    </row>
    <row r="377" spans="1:13" s="100" customFormat="1" ht="13.5" customHeight="1">
      <c r="A377" s="165">
        <v>54</v>
      </c>
      <c r="B377" s="97">
        <v>776</v>
      </c>
      <c r="C377" s="97" t="s">
        <v>325</v>
      </c>
      <c r="D377" s="97" t="s">
        <v>566</v>
      </c>
      <c r="E377" s="97" t="s">
        <v>48</v>
      </c>
      <c r="F377" s="98">
        <f>SUM(F378:F378)</f>
        <v>30.43</v>
      </c>
      <c r="G377" s="98">
        <v>4100</v>
      </c>
      <c r="H377" s="133">
        <f>F377*G377</f>
        <v>124763</v>
      </c>
      <c r="I377" s="99" t="s">
        <v>49</v>
      </c>
      <c r="J377" s="610"/>
    </row>
    <row r="378" spans="1:13" s="100" customFormat="1" ht="13.5" customHeight="1">
      <c r="A378" s="102"/>
      <c r="B378" s="103"/>
      <c r="C378" s="103"/>
      <c r="D378" s="101" t="s">
        <v>326</v>
      </c>
      <c r="E378" s="103"/>
      <c r="F378" s="113">
        <f>15.26+15.17</f>
        <v>30.43</v>
      </c>
      <c r="G378" s="110"/>
      <c r="H378" s="106"/>
      <c r="I378" s="440"/>
      <c r="J378" s="617"/>
    </row>
    <row r="379" spans="1:13" s="100" customFormat="1" ht="13.5" customHeight="1">
      <c r="A379" s="102"/>
      <c r="B379" s="103"/>
      <c r="C379" s="103"/>
      <c r="D379" s="101" t="s">
        <v>80</v>
      </c>
      <c r="E379" s="103"/>
      <c r="F379" s="113"/>
      <c r="G379" s="110"/>
      <c r="H379" s="106"/>
      <c r="I379" s="440"/>
    </row>
    <row r="380" spans="1:13" s="100" customFormat="1" ht="13.5" customHeight="1">
      <c r="A380" s="102"/>
      <c r="B380" s="103"/>
      <c r="C380" s="103"/>
      <c r="D380" s="101" t="s">
        <v>567</v>
      </c>
      <c r="E380" s="103"/>
      <c r="F380" s="113"/>
      <c r="G380" s="110"/>
      <c r="H380" s="106"/>
      <c r="I380" s="109"/>
      <c r="J380" s="612"/>
    </row>
    <row r="381" spans="1:13" s="100" customFormat="1" ht="13.5" customHeight="1">
      <c r="A381" s="102"/>
      <c r="B381" s="103"/>
      <c r="C381" s="103"/>
      <c r="D381" s="101" t="s">
        <v>327</v>
      </c>
      <c r="E381" s="103"/>
      <c r="F381" s="113"/>
      <c r="G381" s="110"/>
      <c r="H381" s="106"/>
      <c r="I381" s="109"/>
      <c r="J381" s="612"/>
    </row>
    <row r="382" spans="1:13" s="100" customFormat="1" ht="13.5" customHeight="1">
      <c r="A382" s="102"/>
      <c r="B382" s="103"/>
      <c r="C382" s="103"/>
      <c r="D382" s="101" t="s">
        <v>314</v>
      </c>
      <c r="E382" s="103"/>
      <c r="F382" s="113"/>
      <c r="G382" s="110"/>
      <c r="H382" s="106"/>
      <c r="I382" s="109"/>
    </row>
    <row r="383" spans="1:13" s="100" customFormat="1" ht="13.5" customHeight="1">
      <c r="A383" s="102"/>
      <c r="B383" s="103"/>
      <c r="C383" s="103"/>
      <c r="D383" s="101" t="s">
        <v>315</v>
      </c>
      <c r="E383" s="103"/>
      <c r="F383" s="113"/>
      <c r="G383" s="110"/>
      <c r="H383" s="106"/>
      <c r="I383" s="109"/>
    </row>
    <row r="384" spans="1:13" s="100" customFormat="1" ht="13.5" customHeight="1">
      <c r="A384" s="102"/>
      <c r="B384" s="103"/>
      <c r="C384" s="103"/>
      <c r="D384" s="101" t="s">
        <v>316</v>
      </c>
      <c r="E384" s="103"/>
      <c r="F384" s="113"/>
      <c r="G384" s="110"/>
      <c r="H384" s="106"/>
      <c r="I384" s="109"/>
    </row>
    <row r="385" spans="1:14" s="100" customFormat="1" ht="13.5" customHeight="1">
      <c r="A385" s="102"/>
      <c r="B385" s="103"/>
      <c r="C385" s="103"/>
      <c r="D385" s="101" t="s">
        <v>317</v>
      </c>
      <c r="E385" s="103"/>
      <c r="F385" s="113"/>
      <c r="G385" s="110"/>
      <c r="H385" s="106"/>
      <c r="I385" s="109"/>
    </row>
    <row r="386" spans="1:14" s="100" customFormat="1" ht="40.5" customHeight="1">
      <c r="A386" s="102"/>
      <c r="B386" s="103"/>
      <c r="C386" s="103"/>
      <c r="D386" s="101" t="s">
        <v>328</v>
      </c>
      <c r="E386" s="103"/>
      <c r="F386" s="113"/>
      <c r="G386" s="110"/>
      <c r="H386" s="106"/>
      <c r="I386" s="109"/>
    </row>
    <row r="387" spans="1:14" s="100" customFormat="1" ht="13.5" customHeight="1">
      <c r="A387" s="102"/>
      <c r="B387" s="103"/>
      <c r="C387" s="103"/>
      <c r="D387" s="101" t="s">
        <v>329</v>
      </c>
      <c r="E387" s="103"/>
      <c r="F387" s="113"/>
      <c r="G387" s="110"/>
      <c r="H387" s="106"/>
      <c r="I387" s="109"/>
    </row>
    <row r="388" spans="1:14" s="111" customFormat="1" ht="13.5" customHeight="1">
      <c r="A388" s="403">
        <v>55</v>
      </c>
      <c r="B388" s="97" t="s">
        <v>54</v>
      </c>
      <c r="C388" s="97" t="s">
        <v>320</v>
      </c>
      <c r="D388" s="97" t="s">
        <v>321</v>
      </c>
      <c r="E388" s="97" t="s">
        <v>44</v>
      </c>
      <c r="F388" s="98">
        <f>F389</f>
        <v>15</v>
      </c>
      <c r="G388" s="98">
        <v>519</v>
      </c>
      <c r="H388" s="133">
        <f t="shared" ref="H388" si="0">F388*G388</f>
        <v>7785</v>
      </c>
      <c r="I388" s="196" t="s">
        <v>45</v>
      </c>
    </row>
    <row r="389" spans="1:14" s="100" customFormat="1" ht="13.5" customHeight="1">
      <c r="A389" s="459"/>
      <c r="B389" s="103"/>
      <c r="C389" s="103"/>
      <c r="D389" s="101" t="s">
        <v>330</v>
      </c>
      <c r="E389" s="103"/>
      <c r="F389" s="113">
        <v>15</v>
      </c>
      <c r="G389" s="104"/>
      <c r="H389" s="98"/>
      <c r="I389" s="109"/>
    </row>
    <row r="390" spans="1:14" s="100" customFormat="1" ht="27" customHeight="1">
      <c r="A390" s="459"/>
      <c r="B390" s="103"/>
      <c r="C390" s="103"/>
      <c r="D390" s="101" t="s">
        <v>67</v>
      </c>
      <c r="E390" s="103"/>
      <c r="F390" s="113"/>
      <c r="G390" s="104"/>
      <c r="H390" s="98"/>
      <c r="I390" s="109"/>
      <c r="J390" s="618"/>
      <c r="K390" s="619"/>
      <c r="L390" s="619"/>
      <c r="M390" s="619"/>
    </row>
    <row r="391" spans="1:14" s="100" customFormat="1" ht="13.5" customHeight="1">
      <c r="A391" s="446"/>
      <c r="B391" s="147"/>
      <c r="C391" s="147">
        <v>777</v>
      </c>
      <c r="D391" s="147" t="s">
        <v>99</v>
      </c>
      <c r="E391" s="147"/>
      <c r="F391" s="148"/>
      <c r="G391" s="148"/>
      <c r="H391" s="148">
        <f>SUM(H392:H404)</f>
        <v>5113856.0500000007</v>
      </c>
      <c r="I391" s="109"/>
      <c r="J391" s="252"/>
      <c r="K391" s="615"/>
      <c r="M391" s="616"/>
    </row>
    <row r="392" spans="1:14" s="100" customFormat="1" ht="13.5" customHeight="1">
      <c r="A392" s="165">
        <v>56</v>
      </c>
      <c r="B392" s="97">
        <v>777</v>
      </c>
      <c r="C392" s="97" t="s">
        <v>331</v>
      </c>
      <c r="D392" s="97" t="s">
        <v>563</v>
      </c>
      <c r="E392" s="97" t="s">
        <v>48</v>
      </c>
      <c r="F392" s="98">
        <f>SUM(F393)</f>
        <v>1489.8700000000001</v>
      </c>
      <c r="G392" s="98">
        <v>3415</v>
      </c>
      <c r="H392" s="133">
        <f>F392*G392</f>
        <v>5087906.0500000007</v>
      </c>
      <c r="I392" s="99" t="s">
        <v>49</v>
      </c>
      <c r="J392" s="537"/>
      <c r="K392" s="538"/>
      <c r="L392" s="538"/>
      <c r="M392" s="537"/>
      <c r="N392" s="539"/>
    </row>
    <row r="393" spans="1:14" s="100" customFormat="1" ht="13.5" customHeight="1">
      <c r="A393" s="102"/>
      <c r="B393" s="103"/>
      <c r="C393" s="103"/>
      <c r="D393" s="101" t="s">
        <v>564</v>
      </c>
      <c r="E393" s="103"/>
      <c r="F393" s="113">
        <f>494.13+14.38+11.67+6+2.58+25.36+445.12+10.08+3.71+7.7+2.53+445.12+10.08+3.71+7.7</f>
        <v>1489.8700000000001</v>
      </c>
      <c r="G393" s="110"/>
      <c r="H393" s="106"/>
      <c r="I393" s="440"/>
      <c r="J393" s="540"/>
      <c r="K393" s="538"/>
      <c r="L393" s="538"/>
      <c r="M393" s="537"/>
      <c r="N393" s="539"/>
    </row>
    <row r="394" spans="1:14" s="100" customFormat="1" ht="13.5" customHeight="1">
      <c r="A394" s="102"/>
      <c r="B394" s="103"/>
      <c r="C394" s="103"/>
      <c r="D394" s="101" t="s">
        <v>80</v>
      </c>
      <c r="E394" s="103"/>
      <c r="F394" s="113"/>
      <c r="G394" s="110"/>
      <c r="H394" s="106"/>
      <c r="I394" s="440"/>
      <c r="J394" s="537"/>
      <c r="K394" s="538"/>
      <c r="L394" s="538"/>
      <c r="M394" s="537"/>
      <c r="N394" s="539"/>
    </row>
    <row r="395" spans="1:14" s="100" customFormat="1" ht="13.5" customHeight="1">
      <c r="A395" s="441"/>
      <c r="B395" s="442"/>
      <c r="C395" s="442"/>
      <c r="D395" s="101" t="s">
        <v>565</v>
      </c>
      <c r="E395" s="442"/>
      <c r="F395" s="443"/>
      <c r="G395" s="444"/>
      <c r="H395" s="430"/>
      <c r="I395" s="445"/>
      <c r="J395" s="537"/>
      <c r="K395" s="538"/>
      <c r="L395" s="538"/>
      <c r="M395" s="537"/>
      <c r="N395" s="539"/>
    </row>
    <row r="396" spans="1:14" s="100" customFormat="1" ht="13.5" customHeight="1">
      <c r="A396" s="102"/>
      <c r="B396" s="103"/>
      <c r="C396" s="103"/>
      <c r="D396" s="101" t="s">
        <v>332</v>
      </c>
      <c r="E396" s="103"/>
      <c r="F396" s="113"/>
      <c r="G396" s="110"/>
      <c r="H396" s="106"/>
      <c r="I396" s="109"/>
      <c r="J396" s="537"/>
      <c r="K396" s="538"/>
      <c r="L396" s="538"/>
      <c r="M396" s="537"/>
      <c r="N396" s="539"/>
    </row>
    <row r="397" spans="1:14" s="100" customFormat="1" ht="27" customHeight="1">
      <c r="A397" s="102"/>
      <c r="B397" s="103"/>
      <c r="C397" s="103"/>
      <c r="D397" s="101" t="s">
        <v>324</v>
      </c>
      <c r="E397" s="103"/>
      <c r="F397" s="113"/>
      <c r="G397" s="110"/>
      <c r="H397" s="106"/>
      <c r="I397" s="109"/>
      <c r="J397" s="537"/>
      <c r="K397" s="538"/>
      <c r="L397" s="538"/>
      <c r="M397" s="537"/>
      <c r="N397" s="539"/>
    </row>
    <row r="398" spans="1:14" s="100" customFormat="1" ht="13.5" customHeight="1">
      <c r="A398" s="102"/>
      <c r="B398" s="103"/>
      <c r="C398" s="103"/>
      <c r="D398" s="101" t="s">
        <v>315</v>
      </c>
      <c r="E398" s="103"/>
      <c r="F398" s="113"/>
      <c r="G398" s="110"/>
      <c r="H398" s="106"/>
      <c r="I398" s="109"/>
      <c r="J398" s="537"/>
      <c r="K398" s="538"/>
      <c r="L398" s="538"/>
      <c r="M398" s="537"/>
      <c r="N398" s="539"/>
    </row>
    <row r="399" spans="1:14" s="100" customFormat="1" ht="13.5" customHeight="1">
      <c r="A399" s="102"/>
      <c r="B399" s="103"/>
      <c r="C399" s="103"/>
      <c r="D399" s="101" t="s">
        <v>316</v>
      </c>
      <c r="E399" s="103"/>
      <c r="F399" s="113"/>
      <c r="G399" s="110"/>
      <c r="H399" s="106"/>
      <c r="I399" s="109"/>
      <c r="J399" s="537"/>
      <c r="K399" s="538"/>
      <c r="L399" s="538"/>
      <c r="M399" s="537"/>
      <c r="N399" s="539"/>
    </row>
    <row r="400" spans="1:14" s="100" customFormat="1" ht="13.5" customHeight="1">
      <c r="A400" s="102"/>
      <c r="B400" s="103"/>
      <c r="C400" s="103"/>
      <c r="D400" s="101" t="s">
        <v>317</v>
      </c>
      <c r="E400" s="103"/>
      <c r="F400" s="113"/>
      <c r="G400" s="110"/>
      <c r="H400" s="106"/>
      <c r="I400" s="109"/>
      <c r="J400" s="537"/>
      <c r="K400" s="538"/>
      <c r="L400" s="538"/>
      <c r="M400" s="537"/>
      <c r="N400" s="539"/>
    </row>
    <row r="401" spans="1:18" s="111" customFormat="1" ht="40.5" customHeight="1">
      <c r="A401" s="165"/>
      <c r="B401" s="105"/>
      <c r="C401" s="97"/>
      <c r="D401" s="101" t="s">
        <v>333</v>
      </c>
      <c r="E401" s="97"/>
      <c r="F401" s="113"/>
      <c r="G401" s="98"/>
      <c r="H401" s="98"/>
      <c r="I401" s="99"/>
      <c r="J401" s="537"/>
      <c r="K401" s="538"/>
      <c r="L401" s="538"/>
      <c r="M401" s="537"/>
      <c r="N401" s="539"/>
    </row>
    <row r="402" spans="1:18" s="111" customFormat="1" ht="13.5" customHeight="1">
      <c r="A402" s="165">
        <v>57</v>
      </c>
      <c r="B402" s="105" t="s">
        <v>54</v>
      </c>
      <c r="C402" s="97" t="s">
        <v>320</v>
      </c>
      <c r="D402" s="97" t="s">
        <v>321</v>
      </c>
      <c r="E402" s="97" t="s">
        <v>44</v>
      </c>
      <c r="F402" s="98">
        <f>F403</f>
        <v>50</v>
      </c>
      <c r="G402" s="98">
        <v>519</v>
      </c>
      <c r="H402" s="133">
        <f t="shared" ref="H402" si="1">F402*G402</f>
        <v>25950</v>
      </c>
      <c r="I402" s="196" t="s">
        <v>45</v>
      </c>
    </row>
    <row r="403" spans="1:18" s="100" customFormat="1" ht="13.5" customHeight="1">
      <c r="A403" s="197"/>
      <c r="B403" s="103"/>
      <c r="C403" s="103"/>
      <c r="D403" s="101" t="s">
        <v>334</v>
      </c>
      <c r="E403" s="103"/>
      <c r="F403" s="113">
        <v>50</v>
      </c>
      <c r="G403" s="104"/>
      <c r="H403" s="98"/>
      <c r="I403" s="109"/>
    </row>
    <row r="404" spans="1:18" s="100" customFormat="1" ht="24.75" customHeight="1">
      <c r="A404" s="197"/>
      <c r="B404" s="103"/>
      <c r="C404" s="103"/>
      <c r="D404" s="101" t="s">
        <v>67</v>
      </c>
      <c r="E404" s="103"/>
      <c r="F404" s="113"/>
      <c r="G404" s="104"/>
      <c r="H404" s="98"/>
      <c r="I404" s="109"/>
    </row>
    <row r="405" spans="1:18" s="100" customFormat="1" ht="13.5" customHeight="1">
      <c r="A405" s="146"/>
      <c r="B405" s="147"/>
      <c r="C405" s="147">
        <v>781</v>
      </c>
      <c r="D405" s="147" t="s">
        <v>100</v>
      </c>
      <c r="E405" s="147"/>
      <c r="F405" s="148"/>
      <c r="G405" s="149"/>
      <c r="H405" s="149">
        <f>SUM(H406:H419)</f>
        <v>75190</v>
      </c>
      <c r="I405" s="163"/>
      <c r="J405" s="598"/>
      <c r="L405" s="599"/>
    </row>
    <row r="406" spans="1:18" s="243" customFormat="1" ht="13.5" customHeight="1">
      <c r="A406" s="239">
        <v>58</v>
      </c>
      <c r="B406" s="240" t="s">
        <v>335</v>
      </c>
      <c r="C406" s="241" t="s">
        <v>336</v>
      </c>
      <c r="D406" s="241" t="s">
        <v>337</v>
      </c>
      <c r="E406" s="241" t="s">
        <v>23</v>
      </c>
      <c r="F406" s="236">
        <f>SUM(F407:F407)</f>
        <v>1</v>
      </c>
      <c r="G406" s="242">
        <v>70000</v>
      </c>
      <c r="H406" s="133">
        <f>F406*G406</f>
        <v>70000</v>
      </c>
      <c r="I406" s="99" t="s">
        <v>49</v>
      </c>
      <c r="J406" s="600"/>
      <c r="L406" s="601"/>
      <c r="M406" s="602"/>
    </row>
    <row r="407" spans="1:18" s="243" customFormat="1" ht="13.5" customHeight="1">
      <c r="A407" s="244"/>
      <c r="B407" s="245"/>
      <c r="C407" s="245"/>
      <c r="D407" s="179" t="s">
        <v>338</v>
      </c>
      <c r="E407" s="178"/>
      <c r="F407" s="246">
        <v>1</v>
      </c>
      <c r="G407" s="247"/>
      <c r="H407" s="247"/>
      <c r="I407" s="106"/>
      <c r="K407" s="620"/>
      <c r="L407" s="603"/>
      <c r="N407" s="604"/>
      <c r="R407" s="602"/>
    </row>
    <row r="408" spans="1:18" s="92" customFormat="1" ht="13.5" customHeight="1">
      <c r="A408" s="170"/>
      <c r="B408" s="89"/>
      <c r="C408" s="89"/>
      <c r="D408" s="80" t="s">
        <v>80</v>
      </c>
      <c r="E408" s="89"/>
      <c r="F408" s="142"/>
      <c r="G408" s="91"/>
      <c r="H408" s="91"/>
      <c r="I408" s="106"/>
      <c r="J408" s="249"/>
      <c r="L408" s="603"/>
      <c r="M408" s="243"/>
    </row>
    <row r="409" spans="1:18" s="112" customFormat="1" ht="13.5" customHeight="1">
      <c r="A409" s="171"/>
      <c r="B409" s="158"/>
      <c r="C409" s="158"/>
      <c r="D409" s="158" t="s">
        <v>339</v>
      </c>
      <c r="E409" s="158"/>
      <c r="F409" s="113"/>
      <c r="G409" s="172"/>
      <c r="H409" s="172"/>
      <c r="I409" s="99"/>
      <c r="J409" s="249"/>
      <c r="K409" s="620"/>
      <c r="L409" s="92"/>
      <c r="M409" s="92"/>
      <c r="N409" s="92"/>
    </row>
    <row r="410" spans="1:18" s="112" customFormat="1" ht="13.5" customHeight="1">
      <c r="A410" s="171"/>
      <c r="B410" s="158"/>
      <c r="C410" s="158"/>
      <c r="D410" s="158" t="s">
        <v>340</v>
      </c>
      <c r="E410" s="158"/>
      <c r="F410" s="113"/>
      <c r="G410" s="172"/>
      <c r="H410" s="172"/>
      <c r="I410" s="173"/>
      <c r="J410" s="249"/>
      <c r="K410" s="620"/>
      <c r="L410" s="92"/>
      <c r="M410" s="92"/>
      <c r="N410" s="92"/>
    </row>
    <row r="411" spans="1:18" s="112" customFormat="1" ht="13.5" customHeight="1">
      <c r="A411" s="171"/>
      <c r="B411" s="158"/>
      <c r="C411" s="158"/>
      <c r="D411" s="158" t="s">
        <v>341</v>
      </c>
      <c r="E411" s="158"/>
      <c r="F411" s="113"/>
      <c r="G411" s="172"/>
      <c r="H411" s="172"/>
      <c r="I411" s="173"/>
      <c r="J411" s="249"/>
      <c r="K411" s="620"/>
    </row>
    <row r="412" spans="1:18" s="112" customFormat="1" ht="13.5" customHeight="1">
      <c r="A412" s="171"/>
      <c r="B412" s="158"/>
      <c r="C412" s="158"/>
      <c r="D412" s="158" t="s">
        <v>342</v>
      </c>
      <c r="E412" s="158"/>
      <c r="F412" s="113"/>
      <c r="G412" s="172"/>
      <c r="H412" s="172"/>
      <c r="I412" s="173"/>
      <c r="J412" s="249"/>
      <c r="K412" s="620"/>
    </row>
    <row r="413" spans="1:18" s="112" customFormat="1" ht="13.5" customHeight="1">
      <c r="A413" s="171"/>
      <c r="B413" s="158"/>
      <c r="C413" s="158"/>
      <c r="D413" s="158" t="s">
        <v>343</v>
      </c>
      <c r="E413" s="158"/>
      <c r="F413" s="113"/>
      <c r="G413" s="172"/>
      <c r="H413" s="172"/>
      <c r="I413" s="253"/>
      <c r="J413" s="249"/>
      <c r="K413" s="620"/>
    </row>
    <row r="414" spans="1:18" s="112" customFormat="1" ht="13.5" customHeight="1">
      <c r="A414" s="171"/>
      <c r="B414" s="158"/>
      <c r="C414" s="158"/>
      <c r="D414" s="158" t="s">
        <v>344</v>
      </c>
      <c r="E414" s="158"/>
      <c r="F414" s="113"/>
      <c r="G414" s="172"/>
      <c r="H414" s="172"/>
      <c r="I414" s="173"/>
      <c r="J414" s="249"/>
      <c r="K414" s="620"/>
    </row>
    <row r="415" spans="1:18" s="112" customFormat="1" ht="13.5" customHeight="1">
      <c r="A415" s="171"/>
      <c r="B415" s="158"/>
      <c r="C415" s="158"/>
      <c r="D415" s="158" t="s">
        <v>345</v>
      </c>
      <c r="E415" s="158"/>
      <c r="F415" s="113"/>
      <c r="G415" s="172"/>
      <c r="H415" s="172"/>
      <c r="I415" s="173"/>
      <c r="J415" s="249"/>
      <c r="K415" s="243"/>
    </row>
    <row r="416" spans="1:18" s="112" customFormat="1" ht="13.5" customHeight="1">
      <c r="A416" s="171"/>
      <c r="B416" s="158"/>
      <c r="C416" s="158"/>
      <c r="D416" s="80" t="s">
        <v>346</v>
      </c>
      <c r="E416" s="158"/>
      <c r="F416" s="113"/>
      <c r="G416" s="172"/>
      <c r="H416" s="172"/>
      <c r="I416" s="173"/>
      <c r="J416" s="612"/>
      <c r="K416" s="100"/>
      <c r="L416" s="100"/>
      <c r="M416" s="100"/>
      <c r="N416" s="100"/>
    </row>
    <row r="417" spans="1:18" s="100" customFormat="1" ht="13.5" customHeight="1">
      <c r="A417" s="165">
        <v>59</v>
      </c>
      <c r="B417" s="97" t="s">
        <v>54</v>
      </c>
      <c r="C417" s="97" t="s">
        <v>347</v>
      </c>
      <c r="D417" s="97" t="s">
        <v>348</v>
      </c>
      <c r="E417" s="97" t="s">
        <v>44</v>
      </c>
      <c r="F417" s="236">
        <f>SUM(F418:F418)</f>
        <v>10</v>
      </c>
      <c r="G417" s="98">
        <v>519</v>
      </c>
      <c r="H417" s="133">
        <f>F417*G417</f>
        <v>5190</v>
      </c>
      <c r="I417" s="251" t="s">
        <v>45</v>
      </c>
      <c r="J417" s="621"/>
    </row>
    <row r="418" spans="1:18" s="100" customFormat="1" ht="13.5" customHeight="1">
      <c r="A418" s="197"/>
      <c r="B418" s="103"/>
      <c r="C418" s="103"/>
      <c r="D418" s="101" t="s">
        <v>349</v>
      </c>
      <c r="E418" s="103"/>
      <c r="F418" s="113">
        <v>10</v>
      </c>
      <c r="G418" s="104"/>
      <c r="H418" s="98"/>
      <c r="I418" s="109"/>
    </row>
    <row r="419" spans="1:18" s="100" customFormat="1" ht="13.5" customHeight="1">
      <c r="A419" s="197"/>
      <c r="B419" s="103"/>
      <c r="C419" s="103"/>
      <c r="D419" s="101" t="s">
        <v>64</v>
      </c>
      <c r="E419" s="103"/>
      <c r="F419" s="113"/>
      <c r="G419" s="104"/>
      <c r="H419" s="98"/>
      <c r="I419" s="109"/>
    </row>
    <row r="420" spans="1:18" s="100" customFormat="1" ht="13.5" customHeight="1">
      <c r="A420" s="146"/>
      <c r="B420" s="147"/>
      <c r="C420" s="147">
        <v>784</v>
      </c>
      <c r="D420" s="147" t="s">
        <v>101</v>
      </c>
      <c r="E420" s="147"/>
      <c r="F420" s="148"/>
      <c r="G420" s="149"/>
      <c r="H420" s="149">
        <f>SUM(H421:H433)</f>
        <v>630443.12</v>
      </c>
      <c r="I420" s="163"/>
      <c r="J420" s="598"/>
      <c r="L420" s="599"/>
    </row>
    <row r="421" spans="1:18" s="243" customFormat="1" ht="13.5" customHeight="1">
      <c r="A421" s="239">
        <v>60</v>
      </c>
      <c r="B421" s="240" t="s">
        <v>350</v>
      </c>
      <c r="C421" s="241" t="s">
        <v>351</v>
      </c>
      <c r="D421" s="241" t="s">
        <v>352</v>
      </c>
      <c r="E421" s="241" t="s">
        <v>48</v>
      </c>
      <c r="F421" s="236">
        <f>SUM(F422:F422)</f>
        <v>2210.12</v>
      </c>
      <c r="G421" s="242">
        <v>276</v>
      </c>
      <c r="H421" s="133">
        <f>F421*G421</f>
        <v>609993.12</v>
      </c>
      <c r="I421" s="99" t="s">
        <v>49</v>
      </c>
      <c r="J421" s="249"/>
    </row>
    <row r="422" spans="1:18" s="243" customFormat="1" ht="13.5" customHeight="1">
      <c r="A422" s="244"/>
      <c r="B422" s="245"/>
      <c r="C422" s="245"/>
      <c r="D422" s="179" t="s">
        <v>572</v>
      </c>
      <c r="E422" s="178"/>
      <c r="F422" s="113">
        <f>670+470.57+1069.55</f>
        <v>2210.12</v>
      </c>
      <c r="G422" s="247"/>
      <c r="H422" s="247"/>
      <c r="I422" s="106"/>
      <c r="J422" s="249"/>
      <c r="L422" s="92"/>
      <c r="M422" s="92"/>
      <c r="N422" s="604"/>
      <c r="R422" s="602"/>
    </row>
    <row r="423" spans="1:18" s="92" customFormat="1" ht="13.5" customHeight="1">
      <c r="A423" s="170"/>
      <c r="B423" s="89"/>
      <c r="C423" s="89"/>
      <c r="D423" s="80" t="s">
        <v>80</v>
      </c>
      <c r="E423" s="89"/>
      <c r="F423" s="142"/>
      <c r="G423" s="91"/>
      <c r="H423" s="91"/>
      <c r="I423" s="106"/>
      <c r="J423" s="249"/>
      <c r="K423" s="243"/>
      <c r="L423" s="601"/>
      <c r="N423" s="112"/>
    </row>
    <row r="424" spans="1:18" s="112" customFormat="1" ht="13.5" customHeight="1">
      <c r="A424" s="171"/>
      <c r="B424" s="158"/>
      <c r="C424" s="158"/>
      <c r="D424" s="158" t="s">
        <v>353</v>
      </c>
      <c r="E424" s="158"/>
      <c r="F424" s="113"/>
      <c r="G424" s="172"/>
      <c r="H424" s="172"/>
      <c r="I424" s="106"/>
      <c r="J424" s="249"/>
      <c r="K424" s="243"/>
    </row>
    <row r="425" spans="1:18" s="112" customFormat="1" ht="13.5" customHeight="1">
      <c r="A425" s="171"/>
      <c r="B425" s="158"/>
      <c r="C425" s="158"/>
      <c r="D425" s="158" t="s">
        <v>354</v>
      </c>
      <c r="E425" s="158"/>
      <c r="F425" s="113"/>
      <c r="G425" s="172"/>
      <c r="H425" s="172"/>
      <c r="I425" s="173"/>
      <c r="J425" s="249"/>
      <c r="K425" s="243"/>
    </row>
    <row r="426" spans="1:18" s="112" customFormat="1" ht="13.5" customHeight="1">
      <c r="A426" s="171"/>
      <c r="B426" s="158"/>
      <c r="C426" s="158"/>
      <c r="D426" s="158" t="s">
        <v>355</v>
      </c>
      <c r="E426" s="158"/>
      <c r="F426" s="113"/>
      <c r="G426" s="172"/>
      <c r="H426" s="172"/>
      <c r="I426" s="173"/>
      <c r="J426" s="249"/>
      <c r="K426" s="243"/>
    </row>
    <row r="427" spans="1:18" s="112" customFormat="1" ht="13.5" customHeight="1">
      <c r="A427" s="171"/>
      <c r="B427" s="158"/>
      <c r="C427" s="158"/>
      <c r="D427" s="158" t="s">
        <v>356</v>
      </c>
      <c r="E427" s="158"/>
      <c r="F427" s="113"/>
      <c r="G427" s="172"/>
      <c r="H427" s="172"/>
      <c r="I427" s="173"/>
      <c r="J427" s="249"/>
      <c r="K427" s="243"/>
    </row>
    <row r="428" spans="1:18" s="112" customFormat="1" ht="13.5" customHeight="1">
      <c r="A428" s="171"/>
      <c r="B428" s="158"/>
      <c r="C428" s="158"/>
      <c r="D428" s="158" t="s">
        <v>357</v>
      </c>
      <c r="E428" s="158"/>
      <c r="F428" s="113"/>
      <c r="G428" s="172"/>
      <c r="H428" s="172"/>
      <c r="I428" s="173"/>
      <c r="J428" s="249"/>
      <c r="K428" s="243"/>
    </row>
    <row r="429" spans="1:18" s="112" customFormat="1" ht="13.5" customHeight="1">
      <c r="A429" s="171"/>
      <c r="B429" s="158"/>
      <c r="C429" s="158"/>
      <c r="D429" s="158" t="s">
        <v>358</v>
      </c>
      <c r="E429" s="158"/>
      <c r="F429" s="113"/>
      <c r="G429" s="172"/>
      <c r="H429" s="172"/>
      <c r="I429" s="173"/>
      <c r="J429" s="249"/>
      <c r="K429" s="243"/>
    </row>
    <row r="430" spans="1:18" s="112" customFormat="1" ht="13.5" customHeight="1">
      <c r="A430" s="171"/>
      <c r="B430" s="158"/>
      <c r="C430" s="158"/>
      <c r="D430" s="80" t="s">
        <v>359</v>
      </c>
      <c r="E430" s="158"/>
      <c r="F430" s="113"/>
      <c r="G430" s="172"/>
      <c r="H430" s="172"/>
      <c r="I430" s="173"/>
      <c r="J430" s="559"/>
      <c r="L430" s="622"/>
    </row>
    <row r="431" spans="1:18" s="100" customFormat="1" ht="13.5" customHeight="1">
      <c r="A431" s="165">
        <v>61</v>
      </c>
      <c r="B431" s="97" t="s">
        <v>54</v>
      </c>
      <c r="C431" s="97" t="s">
        <v>68</v>
      </c>
      <c r="D431" s="97" t="s">
        <v>69</v>
      </c>
      <c r="E431" s="97" t="s">
        <v>44</v>
      </c>
      <c r="F431" s="254">
        <f>F432</f>
        <v>50</v>
      </c>
      <c r="G431" s="98">
        <v>409</v>
      </c>
      <c r="H431" s="133">
        <f>F431*G431</f>
        <v>20450</v>
      </c>
      <c r="I431" s="99" t="s">
        <v>45</v>
      </c>
    </row>
    <row r="432" spans="1:18" s="100" customFormat="1" ht="13.5" customHeight="1">
      <c r="A432" s="197"/>
      <c r="B432" s="103"/>
      <c r="C432" s="103"/>
      <c r="D432" s="101" t="s">
        <v>349</v>
      </c>
      <c r="E432" s="103"/>
      <c r="F432" s="113">
        <v>50</v>
      </c>
      <c r="G432" s="104"/>
      <c r="H432" s="98"/>
      <c r="I432" s="109"/>
    </row>
    <row r="433" spans="1:47" s="100" customFormat="1" ht="13.5" customHeight="1">
      <c r="A433" s="197"/>
      <c r="B433" s="103"/>
      <c r="C433" s="103"/>
      <c r="D433" s="101" t="s">
        <v>64</v>
      </c>
      <c r="E433" s="103"/>
      <c r="F433" s="113"/>
      <c r="G433" s="104"/>
      <c r="H433" s="98"/>
      <c r="I433" s="109"/>
    </row>
    <row r="434" spans="1:47" s="463" customFormat="1" ht="13.5" customHeight="1">
      <c r="A434" s="255"/>
      <c r="B434" s="183"/>
      <c r="C434" s="460">
        <v>790</v>
      </c>
      <c r="D434" s="460" t="s">
        <v>102</v>
      </c>
      <c r="E434" s="461"/>
      <c r="F434" s="462"/>
      <c r="G434" s="256"/>
      <c r="H434" s="462">
        <f>SUM(H435:H439)</f>
        <v>187900</v>
      </c>
      <c r="I434" s="257"/>
    </row>
    <row r="435" spans="1:47" s="100" customFormat="1" ht="27" customHeight="1">
      <c r="A435" s="192">
        <v>62</v>
      </c>
      <c r="B435" s="464">
        <v>790</v>
      </c>
      <c r="C435" s="97" t="s">
        <v>360</v>
      </c>
      <c r="D435" s="73" t="s">
        <v>361</v>
      </c>
      <c r="E435" s="193" t="s">
        <v>23</v>
      </c>
      <c r="F435" s="465">
        <f>SUM(F436)</f>
        <v>1</v>
      </c>
      <c r="G435" s="106">
        <v>180000</v>
      </c>
      <c r="H435" s="133">
        <f>F435*G435</f>
        <v>180000</v>
      </c>
      <c r="I435" s="99" t="s">
        <v>49</v>
      </c>
      <c r="J435" s="562"/>
      <c r="L435" s="623"/>
    </row>
    <row r="436" spans="1:47" s="100" customFormat="1" ht="13.5" customHeight="1">
      <c r="A436" s="192"/>
      <c r="B436" s="105"/>
      <c r="C436" s="97"/>
      <c r="D436" s="101" t="s">
        <v>362</v>
      </c>
      <c r="E436" s="193"/>
      <c r="F436" s="113">
        <v>1</v>
      </c>
      <c r="G436" s="106"/>
      <c r="H436" s="381"/>
      <c r="I436" s="99"/>
      <c r="J436" s="564"/>
    </row>
    <row r="437" spans="1:47" s="100" customFormat="1" ht="216" customHeight="1">
      <c r="A437" s="192"/>
      <c r="B437" s="105"/>
      <c r="C437" s="97"/>
      <c r="D437" s="195" t="s">
        <v>597</v>
      </c>
      <c r="E437" s="193"/>
      <c r="F437" s="113"/>
      <c r="G437" s="106"/>
      <c r="H437" s="381"/>
      <c r="I437" s="99"/>
      <c r="J437" s="624"/>
    </row>
    <row r="438" spans="1:47" s="94" customFormat="1" ht="13.5" customHeight="1">
      <c r="A438" s="466">
        <v>63</v>
      </c>
      <c r="B438" s="467" t="s">
        <v>54</v>
      </c>
      <c r="C438" s="467" t="s">
        <v>62</v>
      </c>
      <c r="D438" s="467" t="s">
        <v>63</v>
      </c>
      <c r="E438" s="467" t="s">
        <v>44</v>
      </c>
      <c r="F438" s="468">
        <f>F439</f>
        <v>20</v>
      </c>
      <c r="G438" s="256">
        <v>395</v>
      </c>
      <c r="H438" s="133">
        <f>F438*G438</f>
        <v>7900</v>
      </c>
      <c r="I438" s="469" t="s">
        <v>45</v>
      </c>
      <c r="J438" s="625"/>
      <c r="K438" s="258"/>
      <c r="L438" s="258"/>
      <c r="M438" s="258"/>
      <c r="N438" s="258"/>
      <c r="O438" s="258"/>
      <c r="P438" s="258"/>
      <c r="Q438" s="258"/>
      <c r="R438" s="626"/>
      <c r="S438" s="258"/>
      <c r="T438" s="258"/>
      <c r="U438" s="258"/>
      <c r="V438" s="258"/>
      <c r="W438" s="258"/>
      <c r="X438" s="258"/>
      <c r="Y438" s="258"/>
      <c r="Z438" s="258"/>
      <c r="AA438" s="258"/>
      <c r="AB438" s="258"/>
      <c r="AC438" s="258"/>
      <c r="AD438" s="258"/>
      <c r="AE438" s="258"/>
      <c r="AF438" s="258"/>
      <c r="AG438" s="258"/>
      <c r="AH438" s="258"/>
      <c r="AI438" s="258"/>
      <c r="AJ438" s="258"/>
      <c r="AK438" s="258"/>
      <c r="AL438" s="258"/>
      <c r="AM438" s="258"/>
      <c r="AN438" s="258"/>
      <c r="AO438" s="258"/>
      <c r="AP438" s="258"/>
      <c r="AQ438" s="258"/>
      <c r="AR438" s="258"/>
      <c r="AS438" s="258"/>
      <c r="AT438" s="258"/>
      <c r="AU438" s="258"/>
    </row>
    <row r="439" spans="1:47" s="94" customFormat="1" ht="13.5" customHeight="1">
      <c r="A439" s="470"/>
      <c r="B439" s="471"/>
      <c r="C439" s="471"/>
      <c r="D439" s="472" t="s">
        <v>364</v>
      </c>
      <c r="E439" s="471"/>
      <c r="F439" s="473">
        <v>20</v>
      </c>
      <c r="G439" s="256"/>
      <c r="H439" s="256"/>
      <c r="I439" s="469"/>
      <c r="J439" s="625"/>
      <c r="K439" s="258"/>
      <c r="L439" s="258"/>
      <c r="M439" s="258"/>
      <c r="N439" s="258"/>
      <c r="O439" s="258"/>
      <c r="P439" s="258"/>
      <c r="Q439" s="258"/>
      <c r="R439" s="626"/>
      <c r="S439" s="258"/>
      <c r="T439" s="258"/>
      <c r="U439" s="258"/>
      <c r="V439" s="258"/>
      <c r="W439" s="258"/>
      <c r="X439" s="258"/>
      <c r="Y439" s="258"/>
      <c r="Z439" s="258"/>
      <c r="AA439" s="258"/>
      <c r="AB439" s="258"/>
      <c r="AC439" s="258"/>
      <c r="AD439" s="258"/>
      <c r="AE439" s="258"/>
      <c r="AF439" s="258"/>
      <c r="AG439" s="258"/>
      <c r="AH439" s="258"/>
      <c r="AI439" s="258"/>
      <c r="AJ439" s="258"/>
      <c r="AK439" s="258"/>
      <c r="AL439" s="258"/>
      <c r="AM439" s="258"/>
      <c r="AN439" s="258"/>
      <c r="AO439" s="258"/>
      <c r="AP439" s="258"/>
      <c r="AQ439" s="258"/>
      <c r="AR439" s="258"/>
      <c r="AS439" s="258"/>
      <c r="AT439" s="258"/>
      <c r="AU439" s="258"/>
    </row>
    <row r="440" spans="1:47" s="100" customFormat="1" ht="21" customHeight="1">
      <c r="A440" s="146"/>
      <c r="B440" s="174"/>
      <c r="C440" s="147" t="s">
        <v>70</v>
      </c>
      <c r="D440" s="147" t="s">
        <v>71</v>
      </c>
      <c r="E440" s="147"/>
      <c r="F440" s="148"/>
      <c r="G440" s="149"/>
      <c r="H440" s="149">
        <f>H441</f>
        <v>2224850</v>
      </c>
      <c r="I440" s="109"/>
      <c r="J440" s="537"/>
      <c r="K440" s="538"/>
      <c r="L440" s="538"/>
      <c r="M440" s="537"/>
      <c r="N440" s="539"/>
    </row>
    <row r="441" spans="1:47" s="116" customFormat="1" ht="13.5" customHeight="1">
      <c r="A441" s="146"/>
      <c r="B441" s="147"/>
      <c r="C441" s="147" t="s">
        <v>103</v>
      </c>
      <c r="D441" s="147" t="s">
        <v>104</v>
      </c>
      <c r="E441" s="147"/>
      <c r="F441" s="148"/>
      <c r="G441" s="149"/>
      <c r="H441" s="149">
        <f>SUM(H442:H451)</f>
        <v>2224850</v>
      </c>
      <c r="I441" s="109"/>
      <c r="J441" s="537"/>
      <c r="K441" s="538"/>
      <c r="L441" s="538"/>
      <c r="M441" s="537"/>
      <c r="N441" s="539"/>
    </row>
    <row r="442" spans="1:47" s="116" customFormat="1" ht="13.5" customHeight="1">
      <c r="A442" s="96">
        <v>64</v>
      </c>
      <c r="B442" s="105" t="s">
        <v>365</v>
      </c>
      <c r="C442" s="97" t="s">
        <v>366</v>
      </c>
      <c r="D442" s="97" t="s">
        <v>367</v>
      </c>
      <c r="E442" s="97" t="s">
        <v>23</v>
      </c>
      <c r="F442" s="98">
        <f>SUM(F444:F444)</f>
        <v>1</v>
      </c>
      <c r="G442" s="106">
        <v>2200000</v>
      </c>
      <c r="H442" s="133">
        <f>F442*G442</f>
        <v>2200000</v>
      </c>
      <c r="I442" s="99" t="s">
        <v>49</v>
      </c>
      <c r="J442" s="537"/>
      <c r="K442" s="538"/>
      <c r="L442" s="538"/>
      <c r="M442" s="537"/>
      <c r="N442" s="539"/>
    </row>
    <row r="443" spans="1:47" s="116" customFormat="1" ht="13.5" customHeight="1">
      <c r="A443" s="96"/>
      <c r="B443" s="105"/>
      <c r="C443" s="97"/>
      <c r="D443" s="101" t="s">
        <v>368</v>
      </c>
      <c r="E443" s="97"/>
      <c r="F443" s="98"/>
      <c r="G443" s="106"/>
      <c r="H443" s="106"/>
      <c r="I443" s="99"/>
      <c r="J443" s="537"/>
      <c r="K443" s="538"/>
      <c r="L443" s="538"/>
      <c r="M443" s="537"/>
      <c r="N443" s="539"/>
    </row>
    <row r="444" spans="1:47" s="116" customFormat="1" ht="13.5" customHeight="1">
      <c r="A444" s="96"/>
      <c r="B444" s="105"/>
      <c r="C444" s="97"/>
      <c r="D444" s="101" t="s">
        <v>369</v>
      </c>
      <c r="E444" s="97"/>
      <c r="F444" s="113">
        <v>1</v>
      </c>
      <c r="G444" s="106"/>
      <c r="H444" s="106"/>
      <c r="I444" s="150"/>
      <c r="J444" s="537"/>
      <c r="K444" s="538"/>
      <c r="L444" s="538"/>
      <c r="M444" s="537"/>
      <c r="N444" s="539"/>
    </row>
    <row r="445" spans="1:47" s="116" customFormat="1" ht="40.5" customHeight="1">
      <c r="A445" s="96"/>
      <c r="B445" s="105"/>
      <c r="C445" s="97"/>
      <c r="D445" s="101" t="s">
        <v>370</v>
      </c>
      <c r="E445" s="97"/>
      <c r="F445" s="113"/>
      <c r="G445" s="106"/>
      <c r="H445" s="106"/>
      <c r="I445" s="150"/>
      <c r="J445" s="537"/>
      <c r="K445" s="538"/>
      <c r="L445" s="538"/>
      <c r="M445" s="537"/>
      <c r="N445" s="539"/>
    </row>
    <row r="446" spans="1:47" s="116" customFormat="1" ht="27" customHeight="1">
      <c r="A446" s="96"/>
      <c r="B446" s="105"/>
      <c r="C446" s="97"/>
      <c r="D446" s="101" t="s">
        <v>371</v>
      </c>
      <c r="E446" s="97"/>
      <c r="F446" s="113"/>
      <c r="G446" s="106"/>
      <c r="H446" s="106"/>
      <c r="I446" s="150"/>
      <c r="J446" s="537"/>
      <c r="K446" s="538"/>
      <c r="L446" s="538"/>
      <c r="M446" s="537"/>
      <c r="N446" s="539"/>
    </row>
    <row r="447" spans="1:47" s="116" customFormat="1" ht="27" customHeight="1">
      <c r="A447" s="96"/>
      <c r="B447" s="105"/>
      <c r="C447" s="97"/>
      <c r="D447" s="101" t="s">
        <v>372</v>
      </c>
      <c r="E447" s="97"/>
      <c r="F447" s="113"/>
      <c r="G447" s="106"/>
      <c r="H447" s="106"/>
      <c r="I447" s="150"/>
      <c r="J447" s="537"/>
      <c r="K447" s="538"/>
      <c r="L447" s="538"/>
      <c r="M447" s="537"/>
      <c r="N447" s="539"/>
    </row>
    <row r="448" spans="1:47" s="116" customFormat="1" ht="26.25" customHeight="1">
      <c r="A448" s="96"/>
      <c r="B448" s="105"/>
      <c r="C448" s="97"/>
      <c r="D448" s="101" t="s">
        <v>373</v>
      </c>
      <c r="E448" s="97"/>
      <c r="F448" s="113"/>
      <c r="G448" s="106"/>
      <c r="H448" s="106"/>
      <c r="I448" s="150"/>
      <c r="J448" s="537"/>
      <c r="K448" s="538"/>
      <c r="L448" s="538"/>
      <c r="M448" s="537"/>
      <c r="N448" s="539"/>
    </row>
    <row r="449" spans="1:14" s="116" customFormat="1" ht="13.5" customHeight="1">
      <c r="A449" s="96">
        <v>65</v>
      </c>
      <c r="B449" s="97" t="s">
        <v>54</v>
      </c>
      <c r="C449" s="97" t="s">
        <v>374</v>
      </c>
      <c r="D449" s="97" t="s">
        <v>375</v>
      </c>
      <c r="E449" s="97" t="s">
        <v>44</v>
      </c>
      <c r="F449" s="98">
        <f>F450</f>
        <v>50</v>
      </c>
      <c r="G449" s="106">
        <v>497</v>
      </c>
      <c r="H449" s="133">
        <f>F449*G449</f>
        <v>24850</v>
      </c>
      <c r="I449" s="99" t="s">
        <v>45</v>
      </c>
      <c r="J449" s="537"/>
      <c r="K449" s="538"/>
      <c r="L449" s="538"/>
      <c r="M449" s="537"/>
      <c r="N449" s="539"/>
    </row>
    <row r="450" spans="1:14" s="116" customFormat="1" ht="13.5" customHeight="1">
      <c r="A450" s="102"/>
      <c r="B450" s="103"/>
      <c r="C450" s="103"/>
      <c r="D450" s="101" t="s">
        <v>376</v>
      </c>
      <c r="E450" s="103"/>
      <c r="F450" s="113">
        <v>50</v>
      </c>
      <c r="G450" s="110"/>
      <c r="H450" s="106"/>
      <c r="I450" s="109"/>
      <c r="J450" s="537"/>
      <c r="K450" s="538"/>
      <c r="L450" s="538"/>
      <c r="M450" s="537"/>
      <c r="N450" s="539"/>
    </row>
    <row r="451" spans="1:14" s="116" customFormat="1" ht="13.5" customHeight="1">
      <c r="A451" s="102"/>
      <c r="B451" s="103"/>
      <c r="C451" s="103"/>
      <c r="D451" s="101" t="s">
        <v>64</v>
      </c>
      <c r="E451" s="103"/>
      <c r="F451" s="113"/>
      <c r="G451" s="110"/>
      <c r="H451" s="106"/>
      <c r="I451" s="109"/>
      <c r="J451" s="537"/>
      <c r="K451" s="538"/>
      <c r="L451" s="538"/>
      <c r="M451" s="100"/>
      <c r="N451" s="539"/>
    </row>
    <row r="452" spans="1:14" s="100" customFormat="1" ht="21" customHeight="1">
      <c r="A452" s="259"/>
      <c r="B452" s="260"/>
      <c r="C452" s="260"/>
      <c r="D452" s="260" t="s">
        <v>0</v>
      </c>
      <c r="E452" s="260"/>
      <c r="F452" s="261"/>
      <c r="G452" s="262"/>
      <c r="H452" s="262">
        <f>H440+H159+H8</f>
        <v>33645683.465000004</v>
      </c>
      <c r="I452" s="271"/>
      <c r="J452" s="114"/>
      <c r="K452" s="114"/>
      <c r="L452" s="114"/>
      <c r="M452" s="114"/>
      <c r="N452" s="114"/>
    </row>
    <row r="453" spans="1:14" s="100" customFormat="1" ht="12" customHeight="1">
      <c r="A453" s="263"/>
      <c r="B453" s="264"/>
      <c r="C453" s="264"/>
      <c r="D453" s="264"/>
      <c r="E453" s="264"/>
      <c r="F453" s="265"/>
      <c r="G453" s="266"/>
      <c r="H453" s="266"/>
      <c r="J453" s="627"/>
      <c r="K453" s="114"/>
      <c r="L453" s="114"/>
      <c r="M453" s="114"/>
      <c r="N453" s="114"/>
    </row>
    <row r="454" spans="1:14" s="100" customFormat="1" ht="13.5" customHeight="1">
      <c r="A454" s="677" t="s">
        <v>65</v>
      </c>
      <c r="B454" s="678"/>
      <c r="C454" s="679"/>
      <c r="D454" s="267" t="s">
        <v>377</v>
      </c>
      <c r="E454" s="268"/>
      <c r="F454" s="269"/>
      <c r="G454" s="270"/>
      <c r="H454" s="383">
        <f>H452</f>
        <v>33645683.465000004</v>
      </c>
      <c r="J454" s="114"/>
      <c r="K454" s="114"/>
      <c r="L454" s="114"/>
      <c r="M454" s="114"/>
      <c r="N454" s="114"/>
    </row>
    <row r="455" spans="1:14" s="51" customFormat="1">
      <c r="A455" s="51" t="s">
        <v>1</v>
      </c>
      <c r="J455" s="114"/>
      <c r="K455" s="114"/>
      <c r="L455" s="114"/>
      <c r="M455" s="114"/>
      <c r="N455" s="114"/>
    </row>
    <row r="456" spans="1:14" s="100" customFormat="1" ht="23.4" customHeight="1">
      <c r="A456" s="672" t="s">
        <v>66</v>
      </c>
      <c r="B456" s="680"/>
      <c r="C456" s="680"/>
      <c r="D456" s="680"/>
      <c r="E456" s="680"/>
      <c r="F456" s="680"/>
      <c r="G456" s="680"/>
      <c r="H456" s="51"/>
      <c r="J456" s="114"/>
      <c r="K456" s="114"/>
      <c r="L456" s="114"/>
      <c r="M456" s="114"/>
      <c r="N456" s="114"/>
    </row>
    <row r="457" spans="1:14" s="51" customFormat="1" ht="93.75" customHeight="1">
      <c r="A457" s="672" t="s">
        <v>24</v>
      </c>
      <c r="B457" s="681"/>
      <c r="C457" s="681"/>
      <c r="D457" s="681"/>
      <c r="E457" s="681"/>
      <c r="F457" s="681"/>
      <c r="G457" s="681"/>
      <c r="J457" s="114"/>
      <c r="K457" s="114"/>
      <c r="L457" s="114"/>
      <c r="M457" s="114"/>
      <c r="N457" s="114"/>
    </row>
    <row r="458" spans="1:14" s="111" customFormat="1" ht="13.5" customHeight="1">
      <c r="A458" s="672" t="s">
        <v>25</v>
      </c>
      <c r="B458" s="673"/>
      <c r="C458" s="673"/>
      <c r="D458" s="673"/>
      <c r="E458" s="673"/>
      <c r="F458" s="673"/>
      <c r="G458" s="673"/>
      <c r="H458" s="65"/>
      <c r="I458" s="65"/>
      <c r="J458" s="114"/>
      <c r="K458" s="114"/>
      <c r="L458" s="114"/>
      <c r="M458" s="114"/>
      <c r="N458" s="114"/>
    </row>
    <row r="459" spans="1:14" s="111" customFormat="1" ht="13.5" customHeight="1">
      <c r="A459" s="672" t="s">
        <v>26</v>
      </c>
      <c r="B459" s="673"/>
      <c r="C459" s="673"/>
      <c r="D459" s="673"/>
      <c r="E459" s="673"/>
      <c r="F459" s="673"/>
      <c r="G459" s="673"/>
      <c r="H459" s="65"/>
      <c r="I459" s="65"/>
      <c r="J459" s="114"/>
      <c r="K459" s="114"/>
      <c r="L459" s="114"/>
      <c r="M459" s="114"/>
      <c r="N459" s="114"/>
    </row>
    <row r="460" spans="1:14" s="117" customFormat="1" ht="13.5" customHeight="1">
      <c r="A460" s="674"/>
      <c r="B460" s="674"/>
      <c r="C460" s="674"/>
      <c r="D460" s="674"/>
      <c r="E460" s="674"/>
      <c r="F460" s="674"/>
      <c r="G460" s="674"/>
      <c r="H460" s="216"/>
    </row>
    <row r="461" spans="1:14" s="95" customFormat="1" ht="13.5" customHeight="1">
      <c r="A461" s="674"/>
      <c r="B461" s="674"/>
      <c r="C461" s="674"/>
      <c r="D461" s="674"/>
      <c r="E461" s="674"/>
      <c r="F461" s="674"/>
      <c r="G461" s="674"/>
    </row>
  </sheetData>
  <mergeCells count="8">
    <mergeCell ref="A458:G458"/>
    <mergeCell ref="A459:G459"/>
    <mergeCell ref="A460:G460"/>
    <mergeCell ref="A461:G461"/>
    <mergeCell ref="A2:I2"/>
    <mergeCell ref="A454:C454"/>
    <mergeCell ref="A456:G456"/>
    <mergeCell ref="A457:G45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0" fitToHeight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80EB1-37C3-4E57-A2FA-6C26EA2DFB3E}">
  <sheetPr>
    <pageSetUpPr fitToPage="1"/>
  </sheetPr>
  <dimension ref="A1:IV453"/>
  <sheetViews>
    <sheetView zoomScaleNormal="100" workbookViewId="0"/>
  </sheetViews>
  <sheetFormatPr defaultColWidth="9.28515625" defaultRowHeight="14.4"/>
  <cols>
    <col min="1" max="2" width="5.42578125" style="114" customWidth="1"/>
    <col min="3" max="3" width="15.28515625" style="114" customWidth="1"/>
    <col min="4" max="4" width="75.42578125" style="114" customWidth="1"/>
    <col min="5" max="5" width="7.7109375" style="114" customWidth="1"/>
    <col min="6" max="6" width="11.7109375" style="114" customWidth="1"/>
    <col min="7" max="7" width="12.85546875" style="114" customWidth="1"/>
    <col min="8" max="8" width="18.85546875" style="114" customWidth="1"/>
    <col min="9" max="9" width="19.7109375" style="114" customWidth="1"/>
    <col min="10" max="10" width="18.140625" style="114" customWidth="1"/>
    <col min="11" max="11" width="19" style="114" customWidth="1"/>
    <col min="12" max="12" width="17.28515625" style="114" customWidth="1"/>
    <col min="13" max="13" width="13.7109375" style="114" customWidth="1"/>
    <col min="14" max="14" width="16.28515625" style="114" customWidth="1"/>
    <col min="15" max="17" width="9.28515625" style="114"/>
    <col min="18" max="18" width="13.28515625" style="114" bestFit="1" customWidth="1"/>
    <col min="19" max="19" width="16.28515625" style="114" customWidth="1"/>
    <col min="20" max="20" width="9.28515625" style="114"/>
    <col min="21" max="21" width="11.42578125" style="114" bestFit="1" customWidth="1"/>
    <col min="22" max="16384" width="9.28515625" style="114"/>
  </cols>
  <sheetData>
    <row r="1" spans="1:40" s="100" customFormat="1" ht="20.25" customHeight="1">
      <c r="A1" s="393" t="s">
        <v>30</v>
      </c>
      <c r="B1" s="376"/>
      <c r="C1" s="376"/>
      <c r="D1" s="376"/>
      <c r="E1" s="376"/>
      <c r="F1" s="376"/>
      <c r="G1" s="376"/>
      <c r="I1" s="394"/>
    </row>
    <row r="2" spans="1:40" ht="13.5" customHeight="1">
      <c r="A2" s="675" t="s">
        <v>504</v>
      </c>
      <c r="B2" s="676"/>
      <c r="C2" s="676"/>
      <c r="D2" s="676"/>
      <c r="E2" s="676"/>
      <c r="F2" s="676"/>
      <c r="G2" s="676"/>
      <c r="H2" s="676"/>
      <c r="I2" s="676"/>
      <c r="J2" s="520"/>
    </row>
    <row r="3" spans="1:40" ht="13.5" customHeight="1">
      <c r="A3" s="395" t="s">
        <v>505</v>
      </c>
      <c r="B3" s="396"/>
      <c r="C3" s="396"/>
      <c r="D3" s="396"/>
      <c r="E3" s="396"/>
      <c r="F3" s="376"/>
      <c r="G3" s="376"/>
      <c r="H3" s="100"/>
      <c r="I3" s="100"/>
    </row>
    <row r="4" spans="1:40" ht="13.5" customHeight="1">
      <c r="A4" s="397" t="s">
        <v>512</v>
      </c>
      <c r="B4" s="375"/>
      <c r="C4" s="375"/>
      <c r="D4" s="375"/>
      <c r="E4" s="375"/>
      <c r="F4" s="375"/>
      <c r="G4" s="375"/>
      <c r="H4" s="375"/>
      <c r="I4" s="375"/>
    </row>
    <row r="5" spans="1:40" s="100" customFormat="1" ht="12.75" customHeight="1">
      <c r="A5" s="396"/>
      <c r="B5" s="396"/>
      <c r="C5" s="396"/>
      <c r="D5" s="398"/>
      <c r="E5" s="396"/>
      <c r="F5" s="399"/>
      <c r="G5" s="376"/>
      <c r="H5" s="376"/>
    </row>
    <row r="6" spans="1:40" ht="33.15" customHeight="1">
      <c r="A6" s="119" t="s">
        <v>31</v>
      </c>
      <c r="B6" s="119" t="s">
        <v>32</v>
      </c>
      <c r="C6" s="119" t="s">
        <v>33</v>
      </c>
      <c r="D6" s="119" t="s">
        <v>34</v>
      </c>
      <c r="E6" s="119" t="s">
        <v>35</v>
      </c>
      <c r="F6" s="119" t="s">
        <v>36</v>
      </c>
      <c r="G6" s="119" t="s">
        <v>37</v>
      </c>
      <c r="H6" s="119" t="s">
        <v>475</v>
      </c>
      <c r="I6" s="119" t="s">
        <v>22</v>
      </c>
      <c r="J6" s="521"/>
      <c r="K6" s="120"/>
      <c r="L6" s="522"/>
      <c r="M6" s="522"/>
      <c r="N6" s="522"/>
      <c r="O6" s="522"/>
    </row>
    <row r="7" spans="1:40" ht="15.6">
      <c r="A7" s="119" t="s">
        <v>38</v>
      </c>
      <c r="B7" s="119" t="s">
        <v>39</v>
      </c>
      <c r="C7" s="119" t="s">
        <v>72</v>
      </c>
      <c r="D7" s="119" t="s">
        <v>73</v>
      </c>
      <c r="E7" s="119" t="s">
        <v>74</v>
      </c>
      <c r="F7" s="119" t="s">
        <v>75</v>
      </c>
      <c r="G7" s="119" t="s">
        <v>76</v>
      </c>
      <c r="H7" s="119" t="s">
        <v>77</v>
      </c>
      <c r="I7" s="119">
        <v>9</v>
      </c>
      <c r="J7" s="521"/>
      <c r="K7" s="523"/>
      <c r="L7" s="522"/>
      <c r="O7" s="524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525"/>
      <c r="AJ7" s="100"/>
      <c r="AK7" s="526"/>
      <c r="AL7" s="100"/>
      <c r="AM7" s="100"/>
      <c r="AN7" s="100"/>
    </row>
    <row r="8" spans="1:40" s="100" customFormat="1" ht="21" customHeight="1">
      <c r="A8" s="121"/>
      <c r="B8" s="122"/>
      <c r="C8" s="122" t="s">
        <v>40</v>
      </c>
      <c r="D8" s="122" t="s">
        <v>41</v>
      </c>
      <c r="E8" s="122"/>
      <c r="F8" s="123"/>
      <c r="G8" s="124"/>
      <c r="H8" s="377">
        <f>H9+H22+H35+H48+H58+H83+H138</f>
        <v>14070846.66</v>
      </c>
      <c r="I8" s="118"/>
      <c r="J8" s="527"/>
      <c r="K8" s="528"/>
      <c r="L8" s="528"/>
      <c r="M8" s="528"/>
    </row>
    <row r="9" spans="1:40" s="100" customFormat="1" ht="13.5" customHeight="1">
      <c r="A9" s="125"/>
      <c r="B9" s="126"/>
      <c r="C9" s="126">
        <v>1</v>
      </c>
      <c r="D9" s="126" t="s">
        <v>42</v>
      </c>
      <c r="E9" s="126"/>
      <c r="F9" s="127"/>
      <c r="G9" s="128"/>
      <c r="H9" s="128">
        <f>SUM(H10:H21)</f>
        <v>2550000</v>
      </c>
      <c r="I9" s="129"/>
      <c r="J9" s="529"/>
    </row>
    <row r="10" spans="1:40" s="134" customFormat="1" ht="13.5" customHeight="1">
      <c r="A10" s="130" t="s">
        <v>38</v>
      </c>
      <c r="B10" s="131" t="s">
        <v>43</v>
      </c>
      <c r="C10" s="131" t="s">
        <v>105</v>
      </c>
      <c r="D10" s="131" t="s">
        <v>514</v>
      </c>
      <c r="E10" s="131" t="s">
        <v>23</v>
      </c>
      <c r="F10" s="132">
        <f>F11</f>
        <v>1</v>
      </c>
      <c r="G10" s="133">
        <v>2550000</v>
      </c>
      <c r="H10" s="133">
        <f>F10*G10</f>
        <v>2550000</v>
      </c>
      <c r="I10" s="99" t="s">
        <v>58</v>
      </c>
      <c r="J10" s="532"/>
      <c r="K10" s="533"/>
      <c r="L10" s="534"/>
      <c r="N10" s="530"/>
      <c r="P10" s="531"/>
    </row>
    <row r="11" spans="1:40" s="134" customFormat="1" ht="13.5" customHeight="1">
      <c r="A11" s="135"/>
      <c r="B11" s="136"/>
      <c r="C11" s="136"/>
      <c r="D11" s="101" t="s">
        <v>106</v>
      </c>
      <c r="E11" s="136"/>
      <c r="F11" s="137">
        <v>1</v>
      </c>
      <c r="G11" s="138"/>
      <c r="H11" s="378"/>
      <c r="I11" s="139"/>
      <c r="J11" s="532"/>
      <c r="K11" s="533"/>
      <c r="L11" s="534"/>
      <c r="N11" s="530"/>
      <c r="P11" s="531"/>
    </row>
    <row r="12" spans="1:40" s="145" customFormat="1" ht="13.5" customHeight="1">
      <c r="A12" s="140"/>
      <c r="B12" s="105"/>
      <c r="C12" s="141"/>
      <c r="D12" s="101" t="s">
        <v>80</v>
      </c>
      <c r="E12" s="141"/>
      <c r="F12" s="142"/>
      <c r="G12" s="143"/>
      <c r="H12" s="379"/>
      <c r="I12" s="144"/>
      <c r="J12" s="535"/>
      <c r="K12" s="536"/>
      <c r="L12" s="536"/>
    </row>
    <row r="13" spans="1:40" s="145" customFormat="1" ht="13.5" customHeight="1">
      <c r="A13" s="140"/>
      <c r="B13" s="105"/>
      <c r="C13" s="141"/>
      <c r="D13" s="101" t="s">
        <v>107</v>
      </c>
      <c r="E13" s="141"/>
      <c r="F13" s="142"/>
      <c r="G13" s="143"/>
      <c r="H13" s="379"/>
      <c r="I13" s="144"/>
      <c r="J13" s="535"/>
      <c r="K13" s="536"/>
      <c r="L13" s="536"/>
    </row>
    <row r="14" spans="1:40" s="145" customFormat="1" ht="13.5" customHeight="1">
      <c r="A14" s="140"/>
      <c r="B14" s="105"/>
      <c r="C14" s="141"/>
      <c r="D14" s="101" t="s">
        <v>108</v>
      </c>
      <c r="E14" s="141"/>
      <c r="F14" s="142"/>
      <c r="G14" s="143"/>
      <c r="H14" s="379"/>
      <c r="I14" s="144"/>
      <c r="J14" s="535"/>
      <c r="K14" s="536"/>
      <c r="L14" s="536"/>
    </row>
    <row r="15" spans="1:40" s="145" customFormat="1" ht="13.5" customHeight="1">
      <c r="A15" s="140"/>
      <c r="B15" s="105"/>
      <c r="C15" s="141"/>
      <c r="D15" s="101" t="s">
        <v>109</v>
      </c>
      <c r="E15" s="141"/>
      <c r="F15" s="142"/>
      <c r="G15" s="143"/>
      <c r="H15" s="379"/>
      <c r="I15" s="144"/>
      <c r="J15" s="535"/>
      <c r="K15" s="536"/>
      <c r="L15" s="536"/>
    </row>
    <row r="16" spans="1:40" s="145" customFormat="1" ht="13.5" customHeight="1">
      <c r="A16" s="140"/>
      <c r="B16" s="105"/>
      <c r="C16" s="141"/>
      <c r="D16" s="101" t="s">
        <v>110</v>
      </c>
      <c r="E16" s="141"/>
      <c r="F16" s="142"/>
      <c r="G16" s="143"/>
      <c r="H16" s="379"/>
      <c r="I16" s="144"/>
      <c r="J16" s="535"/>
      <c r="K16" s="536"/>
      <c r="L16" s="536"/>
    </row>
    <row r="17" spans="1:256" s="145" customFormat="1" ht="13.5" customHeight="1">
      <c r="A17" s="140"/>
      <c r="B17" s="105"/>
      <c r="C17" s="141"/>
      <c r="D17" s="101" t="s">
        <v>111</v>
      </c>
      <c r="E17" s="141"/>
      <c r="F17" s="142"/>
      <c r="G17" s="143"/>
      <c r="H17" s="379"/>
      <c r="I17" s="144"/>
      <c r="J17" s="535"/>
      <c r="K17" s="536"/>
      <c r="L17" s="536"/>
    </row>
    <row r="18" spans="1:256" s="145" customFormat="1" ht="13.5" customHeight="1">
      <c r="A18" s="140"/>
      <c r="B18" s="105"/>
      <c r="C18" s="141"/>
      <c r="D18" s="101" t="s">
        <v>112</v>
      </c>
      <c r="E18" s="141"/>
      <c r="F18" s="142"/>
      <c r="G18" s="143"/>
      <c r="H18" s="379"/>
      <c r="I18" s="144"/>
      <c r="J18" s="535"/>
      <c r="K18" s="536"/>
      <c r="L18" s="536"/>
    </row>
    <row r="19" spans="1:256" s="145" customFormat="1" ht="27" customHeight="1">
      <c r="A19" s="140"/>
      <c r="B19" s="105"/>
      <c r="C19" s="141"/>
      <c r="D19" s="101" t="s">
        <v>113</v>
      </c>
      <c r="E19" s="141"/>
      <c r="F19" s="142"/>
      <c r="G19" s="143"/>
      <c r="H19" s="379"/>
      <c r="I19" s="144"/>
      <c r="J19" s="535"/>
      <c r="K19" s="536"/>
      <c r="L19" s="536"/>
    </row>
    <row r="20" spans="1:256" s="145" customFormat="1" ht="13.5" customHeight="1">
      <c r="A20" s="140"/>
      <c r="B20" s="105"/>
      <c r="C20" s="141"/>
      <c r="D20" s="101" t="s">
        <v>82</v>
      </c>
      <c r="E20" s="141"/>
      <c r="F20" s="142"/>
      <c r="G20" s="143"/>
      <c r="H20" s="379"/>
      <c r="I20" s="144"/>
      <c r="J20" s="535"/>
      <c r="K20" s="536"/>
      <c r="L20" s="536"/>
    </row>
    <row r="21" spans="1:256" s="74" customFormat="1" ht="81" customHeight="1">
      <c r="A21" s="81"/>
      <c r="B21" s="82"/>
      <c r="C21" s="83"/>
      <c r="D21" s="84" t="s">
        <v>50</v>
      </c>
      <c r="E21" s="79"/>
      <c r="F21" s="85"/>
      <c r="G21" s="86"/>
      <c r="H21" s="86"/>
      <c r="I21" s="87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  <c r="DR21" s="75"/>
      <c r="DS21" s="75"/>
      <c r="DT21" s="75"/>
      <c r="DU21" s="75"/>
      <c r="DV21" s="75"/>
      <c r="DW21" s="75"/>
      <c r="DX21" s="75"/>
      <c r="DY21" s="75"/>
      <c r="DZ21" s="75"/>
      <c r="EA21" s="75"/>
      <c r="EB21" s="75"/>
      <c r="EC21" s="75"/>
      <c r="ED21" s="75"/>
      <c r="EE21" s="75"/>
      <c r="EF21" s="75"/>
      <c r="EG21" s="75"/>
      <c r="EH21" s="75"/>
      <c r="EI21" s="75"/>
      <c r="EJ21" s="75"/>
      <c r="EK21" s="75"/>
      <c r="EL21" s="75"/>
      <c r="EM21" s="75"/>
      <c r="EN21" s="75"/>
      <c r="EO21" s="75"/>
      <c r="EP21" s="75"/>
      <c r="EQ21" s="75"/>
      <c r="ER21" s="75"/>
      <c r="ES21" s="75"/>
      <c r="ET21" s="75"/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5"/>
      <c r="FF21" s="75"/>
      <c r="FG21" s="75"/>
      <c r="FH21" s="75"/>
      <c r="FI21" s="75"/>
      <c r="FJ21" s="75"/>
      <c r="FK21" s="75"/>
      <c r="FL21" s="75"/>
      <c r="FM21" s="75"/>
      <c r="FN21" s="75"/>
      <c r="FO21" s="75"/>
      <c r="FP21" s="75"/>
      <c r="FQ21" s="75"/>
      <c r="FR21" s="75"/>
      <c r="FS21" s="75"/>
      <c r="FT21" s="75"/>
      <c r="FU21" s="75"/>
      <c r="FV21" s="75"/>
      <c r="FW21" s="75"/>
      <c r="FX21" s="75"/>
      <c r="FY21" s="75"/>
      <c r="FZ21" s="75"/>
      <c r="GA21" s="75"/>
      <c r="GB21" s="75"/>
      <c r="GC21" s="75"/>
      <c r="GD21" s="75"/>
      <c r="GE21" s="75"/>
      <c r="GF21" s="75"/>
      <c r="GG21" s="75"/>
      <c r="GH21" s="75"/>
      <c r="GI21" s="75"/>
      <c r="GJ21" s="75"/>
      <c r="GK21" s="75"/>
      <c r="GL21" s="75"/>
      <c r="GM21" s="75"/>
      <c r="GN21" s="75"/>
      <c r="GO21" s="75"/>
      <c r="GP21" s="75"/>
      <c r="GQ21" s="75"/>
      <c r="GR21" s="75"/>
      <c r="GS21" s="75"/>
      <c r="GT21" s="75"/>
      <c r="GU21" s="75"/>
      <c r="GV21" s="75"/>
      <c r="GW21" s="75"/>
      <c r="GX21" s="75"/>
      <c r="GY21" s="75"/>
      <c r="GZ21" s="75"/>
      <c r="HA21" s="75"/>
      <c r="HB21" s="75"/>
      <c r="HC21" s="75"/>
      <c r="HD21" s="75"/>
      <c r="HE21" s="75"/>
      <c r="HF21" s="75"/>
      <c r="HG21" s="75"/>
      <c r="HH21" s="75"/>
      <c r="HI21" s="75"/>
      <c r="HJ21" s="75"/>
      <c r="HK21" s="75"/>
      <c r="HL21" s="75"/>
      <c r="HM21" s="75"/>
      <c r="HN21" s="75"/>
      <c r="HO21" s="75"/>
      <c r="HP21" s="75"/>
      <c r="HQ21" s="75"/>
      <c r="HR21" s="75"/>
      <c r="HS21" s="75"/>
      <c r="HT21" s="75"/>
      <c r="HU21" s="75"/>
      <c r="HV21" s="75"/>
      <c r="HW21" s="75"/>
      <c r="HX21" s="75"/>
      <c r="HY21" s="75"/>
      <c r="HZ21" s="75"/>
      <c r="IA21" s="75"/>
      <c r="IB21" s="75"/>
      <c r="IC21" s="75"/>
      <c r="ID21" s="75"/>
      <c r="IE21" s="75"/>
      <c r="IF21" s="75"/>
      <c r="IG21" s="75"/>
      <c r="IH21" s="75"/>
      <c r="II21" s="75"/>
      <c r="IJ21" s="75"/>
      <c r="IK21" s="75"/>
      <c r="IL21" s="75"/>
      <c r="IM21" s="75"/>
      <c r="IN21" s="75"/>
      <c r="IO21" s="75"/>
      <c r="IP21" s="75"/>
      <c r="IQ21" s="75"/>
      <c r="IR21" s="75"/>
      <c r="IS21" s="75"/>
      <c r="IT21" s="75"/>
      <c r="IU21" s="75"/>
      <c r="IV21" s="75"/>
    </row>
    <row r="22" spans="1:256" s="100" customFormat="1" ht="13.5" customHeight="1">
      <c r="A22" s="146"/>
      <c r="B22" s="147"/>
      <c r="C22" s="147">
        <v>2</v>
      </c>
      <c r="D22" s="147" t="s">
        <v>84</v>
      </c>
      <c r="E22" s="147"/>
      <c r="F22" s="148"/>
      <c r="G22" s="149"/>
      <c r="H22" s="149">
        <f>SUM(H23:H34)</f>
        <v>1300000</v>
      </c>
      <c r="I22" s="150"/>
      <c r="J22" s="537"/>
      <c r="K22" s="538"/>
      <c r="L22" s="538"/>
      <c r="M22" s="537"/>
      <c r="N22" s="539"/>
    </row>
    <row r="23" spans="1:256" s="111" customFormat="1" ht="13.5" customHeight="1">
      <c r="A23" s="96">
        <v>2</v>
      </c>
      <c r="B23" s="105" t="s">
        <v>114</v>
      </c>
      <c r="C23" s="97" t="s">
        <v>115</v>
      </c>
      <c r="D23" s="97" t="s">
        <v>515</v>
      </c>
      <c r="E23" s="97" t="s">
        <v>23</v>
      </c>
      <c r="F23" s="98">
        <f>SUM(F24)</f>
        <v>1</v>
      </c>
      <c r="G23" s="71">
        <v>1300000</v>
      </c>
      <c r="H23" s="133">
        <f>F23*G23</f>
        <v>1300000</v>
      </c>
      <c r="I23" s="99" t="s">
        <v>58</v>
      </c>
      <c r="J23" s="540"/>
      <c r="K23" s="538"/>
      <c r="L23" s="538"/>
      <c r="M23" s="537"/>
      <c r="N23" s="539"/>
    </row>
    <row r="24" spans="1:256" s="157" customFormat="1" ht="13.5" customHeight="1">
      <c r="A24" s="151"/>
      <c r="B24" s="152"/>
      <c r="C24" s="153"/>
      <c r="D24" s="153" t="s">
        <v>116</v>
      </c>
      <c r="E24" s="153"/>
      <c r="F24" s="154">
        <v>1</v>
      </c>
      <c r="G24" s="155"/>
      <c r="H24" s="380"/>
      <c r="I24" s="156"/>
      <c r="J24" s="537"/>
      <c r="K24" s="537"/>
      <c r="L24" s="538"/>
      <c r="M24" s="537"/>
      <c r="N24" s="100"/>
    </row>
    <row r="25" spans="1:256" s="100" customFormat="1" ht="13.5" customHeight="1">
      <c r="A25" s="146"/>
      <c r="B25" s="147"/>
      <c r="C25" s="147"/>
      <c r="D25" s="153" t="s">
        <v>117</v>
      </c>
      <c r="E25" s="147"/>
      <c r="F25" s="113"/>
      <c r="G25" s="149"/>
      <c r="H25" s="149"/>
      <c r="I25" s="109"/>
      <c r="J25" s="540"/>
      <c r="K25" s="538"/>
      <c r="L25" s="538"/>
      <c r="M25" s="537"/>
    </row>
    <row r="26" spans="1:256" s="100" customFormat="1" ht="13.5" customHeight="1">
      <c r="A26" s="146"/>
      <c r="B26" s="147"/>
      <c r="C26" s="147"/>
      <c r="D26" s="153" t="s">
        <v>118</v>
      </c>
      <c r="E26" s="147"/>
      <c r="F26" s="113"/>
      <c r="G26" s="149"/>
      <c r="H26" s="149"/>
      <c r="I26" s="109"/>
      <c r="J26" s="540"/>
      <c r="K26" s="538"/>
      <c r="L26" s="538"/>
      <c r="M26" s="537"/>
    </row>
    <row r="27" spans="1:256" s="100" customFormat="1" ht="13.5" customHeight="1">
      <c r="A27" s="146"/>
      <c r="B27" s="147"/>
      <c r="C27" s="147"/>
      <c r="D27" s="153" t="s">
        <v>119</v>
      </c>
      <c r="E27" s="147"/>
      <c r="F27" s="148"/>
      <c r="G27" s="149"/>
      <c r="H27" s="149"/>
      <c r="I27" s="150"/>
      <c r="J27" s="537"/>
      <c r="K27" s="538"/>
      <c r="L27" s="538"/>
      <c r="M27" s="537"/>
    </row>
    <row r="28" spans="1:256" s="100" customFormat="1" ht="13.5" customHeight="1">
      <c r="A28" s="146"/>
      <c r="B28" s="147"/>
      <c r="C28" s="147"/>
      <c r="D28" s="153" t="s">
        <v>120</v>
      </c>
      <c r="E28" s="147"/>
      <c r="F28" s="148"/>
      <c r="G28" s="149"/>
      <c r="H28" s="149"/>
      <c r="I28" s="150"/>
      <c r="J28" s="537"/>
      <c r="K28" s="538"/>
      <c r="L28" s="538"/>
      <c r="M28" s="537"/>
    </row>
    <row r="29" spans="1:256" s="100" customFormat="1" ht="13.5" customHeight="1">
      <c r="A29" s="146"/>
      <c r="B29" s="147"/>
      <c r="C29" s="147"/>
      <c r="D29" s="153" t="s">
        <v>121</v>
      </c>
      <c r="E29" s="147"/>
      <c r="F29" s="148"/>
      <c r="G29" s="149"/>
      <c r="H29" s="149"/>
      <c r="I29" s="150"/>
      <c r="J29" s="537"/>
      <c r="K29" s="538"/>
      <c r="L29" s="538"/>
      <c r="M29" s="537"/>
    </row>
    <row r="30" spans="1:256" s="100" customFormat="1" ht="13.5" customHeight="1">
      <c r="A30" s="146"/>
      <c r="B30" s="147"/>
      <c r="C30" s="147"/>
      <c r="D30" s="153" t="s">
        <v>122</v>
      </c>
      <c r="E30" s="147"/>
      <c r="F30" s="148"/>
      <c r="G30" s="149"/>
      <c r="H30" s="149"/>
      <c r="I30" s="150"/>
      <c r="J30" s="537"/>
      <c r="K30" s="538"/>
      <c r="L30" s="538"/>
      <c r="M30" s="537"/>
      <c r="N30" s="539"/>
    </row>
    <row r="31" spans="1:256" s="100" customFormat="1" ht="13.5" customHeight="1">
      <c r="A31" s="146"/>
      <c r="B31" s="147"/>
      <c r="C31" s="147"/>
      <c r="D31" s="153" t="s">
        <v>123</v>
      </c>
      <c r="E31" s="147"/>
      <c r="F31" s="148"/>
      <c r="G31" s="149"/>
      <c r="H31" s="149"/>
      <c r="I31" s="150"/>
      <c r="J31" s="537"/>
      <c r="K31" s="538"/>
      <c r="L31" s="538"/>
      <c r="M31" s="537"/>
      <c r="N31" s="157"/>
    </row>
    <row r="32" spans="1:256" s="100" customFormat="1" ht="13.5" customHeight="1">
      <c r="A32" s="146"/>
      <c r="B32" s="147"/>
      <c r="C32" s="147"/>
      <c r="D32" s="153" t="s">
        <v>124</v>
      </c>
      <c r="E32" s="147"/>
      <c r="F32" s="148"/>
      <c r="G32" s="149"/>
      <c r="H32" s="149"/>
      <c r="I32" s="150"/>
      <c r="J32" s="537"/>
      <c r="K32" s="538"/>
      <c r="L32" s="538"/>
      <c r="M32" s="537"/>
    </row>
    <row r="33" spans="1:14" s="100" customFormat="1" ht="13.5" customHeight="1">
      <c r="A33" s="146"/>
      <c r="B33" s="147"/>
      <c r="C33" s="147"/>
      <c r="D33" s="158" t="s">
        <v>125</v>
      </c>
      <c r="E33" s="147"/>
      <c r="F33" s="148"/>
      <c r="G33" s="149"/>
      <c r="H33" s="149"/>
      <c r="I33" s="150"/>
      <c r="J33" s="537"/>
      <c r="K33" s="538"/>
      <c r="L33" s="538"/>
      <c r="M33" s="537"/>
    </row>
    <row r="34" spans="1:14" s="100" customFormat="1" ht="13.5" customHeight="1">
      <c r="A34" s="146"/>
      <c r="B34" s="147"/>
      <c r="C34" s="147"/>
      <c r="D34" s="153" t="s">
        <v>126</v>
      </c>
      <c r="E34" s="147"/>
      <c r="F34" s="148"/>
      <c r="G34" s="149"/>
      <c r="H34" s="149"/>
      <c r="I34" s="150"/>
      <c r="J34" s="537"/>
      <c r="K34" s="538"/>
      <c r="L34" s="538"/>
      <c r="M34" s="537"/>
    </row>
    <row r="35" spans="1:14" s="100" customFormat="1" ht="13.5" customHeight="1">
      <c r="A35" s="146"/>
      <c r="B35" s="147"/>
      <c r="C35" s="147">
        <v>3</v>
      </c>
      <c r="D35" s="147" t="s">
        <v>85</v>
      </c>
      <c r="E35" s="147"/>
      <c r="F35" s="148"/>
      <c r="G35" s="149"/>
      <c r="H35" s="149">
        <f>SUM(H36:H47)</f>
        <v>154930.43</v>
      </c>
      <c r="I35" s="109"/>
      <c r="J35" s="541"/>
      <c r="K35" s="94"/>
      <c r="L35" s="542"/>
      <c r="M35" s="94"/>
      <c r="N35" s="543"/>
    </row>
    <row r="36" spans="1:14" s="100" customFormat="1" ht="13.5" customHeight="1">
      <c r="A36" s="96">
        <v>3</v>
      </c>
      <c r="B36" s="105" t="s">
        <v>114</v>
      </c>
      <c r="C36" s="97" t="s">
        <v>660</v>
      </c>
      <c r="D36" s="97" t="s">
        <v>516</v>
      </c>
      <c r="E36" s="97" t="s">
        <v>48</v>
      </c>
      <c r="F36" s="98">
        <f>SUM(F37:F37)</f>
        <v>26.190999999999999</v>
      </c>
      <c r="G36" s="106">
        <v>1730</v>
      </c>
      <c r="H36" s="138">
        <f>F36*G36</f>
        <v>45310.43</v>
      </c>
      <c r="I36" s="99" t="s">
        <v>58</v>
      </c>
      <c r="K36" s="544"/>
      <c r="L36" s="545"/>
      <c r="M36" s="111"/>
      <c r="N36" s="544"/>
    </row>
    <row r="37" spans="1:14" s="145" customFormat="1" ht="13.5" customHeight="1">
      <c r="A37" s="140"/>
      <c r="B37" s="141"/>
      <c r="C37" s="141"/>
      <c r="D37" s="101" t="s">
        <v>518</v>
      </c>
      <c r="E37" s="141"/>
      <c r="F37" s="113">
        <f>23.741+2.45</f>
        <v>26.190999999999999</v>
      </c>
      <c r="G37" s="143"/>
      <c r="H37" s="143"/>
      <c r="I37" s="159"/>
      <c r="J37" s="100"/>
      <c r="K37" s="544"/>
      <c r="L37" s="545"/>
      <c r="M37" s="111"/>
      <c r="N37" s="544"/>
    </row>
    <row r="38" spans="1:14" s="100" customFormat="1" ht="13.5" customHeight="1">
      <c r="A38" s="96"/>
      <c r="B38" s="105"/>
      <c r="C38" s="97"/>
      <c r="D38" s="80" t="s">
        <v>80</v>
      </c>
      <c r="E38" s="97"/>
      <c r="F38" s="109"/>
      <c r="G38" s="106"/>
      <c r="H38" s="106"/>
      <c r="I38" s="159"/>
      <c r="K38" s="544"/>
      <c r="L38" s="545"/>
      <c r="M38" s="111"/>
      <c r="N38" s="544"/>
    </row>
    <row r="39" spans="1:14" s="100" customFormat="1" ht="13.5" customHeight="1">
      <c r="A39" s="102"/>
      <c r="B39" s="103"/>
      <c r="C39" s="103"/>
      <c r="D39" s="158" t="s">
        <v>484</v>
      </c>
      <c r="E39" s="103"/>
      <c r="F39" s="162"/>
      <c r="G39" s="110"/>
      <c r="H39" s="106"/>
      <c r="I39" s="109"/>
      <c r="K39" s="544"/>
      <c r="L39" s="545"/>
      <c r="M39" s="111"/>
      <c r="N39" s="544"/>
    </row>
    <row r="40" spans="1:14" s="100" customFormat="1" ht="13.5" customHeight="1">
      <c r="A40" s="102"/>
      <c r="B40" s="103"/>
      <c r="C40" s="103"/>
      <c r="D40" s="158" t="s">
        <v>485</v>
      </c>
      <c r="E40" s="103"/>
      <c r="F40" s="162"/>
      <c r="G40" s="110"/>
      <c r="H40" s="106"/>
      <c r="I40" s="109"/>
      <c r="K40" s="544"/>
      <c r="L40" s="545"/>
      <c r="M40" s="111"/>
      <c r="N40" s="544"/>
    </row>
    <row r="41" spans="1:14" s="116" customFormat="1" ht="13.5" customHeight="1">
      <c r="A41" s="115"/>
      <c r="B41" s="105"/>
      <c r="C41" s="97"/>
      <c r="D41" s="158" t="s">
        <v>133</v>
      </c>
      <c r="E41" s="97"/>
      <c r="F41" s="162"/>
      <c r="G41" s="106"/>
      <c r="H41" s="106"/>
      <c r="I41" s="163"/>
      <c r="J41" s="100"/>
      <c r="K41" s="544"/>
      <c r="L41" s="545"/>
      <c r="M41" s="111"/>
      <c r="N41" s="544"/>
    </row>
    <row r="42" spans="1:14" s="100" customFormat="1" ht="13.5" customHeight="1">
      <c r="A42" s="96">
        <v>4</v>
      </c>
      <c r="B42" s="105" t="s">
        <v>114</v>
      </c>
      <c r="C42" s="97" t="s">
        <v>662</v>
      </c>
      <c r="D42" s="97" t="s">
        <v>519</v>
      </c>
      <c r="E42" s="97" t="s">
        <v>48</v>
      </c>
      <c r="F42" s="98">
        <f>SUM(F43:F43)</f>
        <v>75.599999999999994</v>
      </c>
      <c r="G42" s="106">
        <v>1450</v>
      </c>
      <c r="H42" s="138">
        <f>F42*G42</f>
        <v>109619.99999999999</v>
      </c>
      <c r="I42" s="99" t="s">
        <v>58</v>
      </c>
      <c r="K42" s="544"/>
      <c r="L42" s="545"/>
      <c r="M42" s="111"/>
      <c r="N42" s="544"/>
    </row>
    <row r="43" spans="1:14" s="145" customFormat="1" ht="13.5" customHeight="1">
      <c r="A43" s="140"/>
      <c r="B43" s="141"/>
      <c r="C43" s="141"/>
      <c r="D43" s="101" t="s">
        <v>520</v>
      </c>
      <c r="E43" s="141"/>
      <c r="F43" s="113">
        <v>75.599999999999994</v>
      </c>
      <c r="G43" s="143"/>
      <c r="H43" s="143"/>
      <c r="I43" s="159"/>
      <c r="J43" s="100"/>
      <c r="K43" s="544"/>
      <c r="L43" s="545"/>
      <c r="M43" s="111"/>
      <c r="N43" s="544"/>
    </row>
    <row r="44" spans="1:14" s="100" customFormat="1" ht="13.5" customHeight="1">
      <c r="A44" s="96"/>
      <c r="B44" s="105"/>
      <c r="C44" s="97"/>
      <c r="D44" s="80" t="s">
        <v>80</v>
      </c>
      <c r="E44" s="97"/>
      <c r="F44" s="109"/>
      <c r="G44" s="106"/>
      <c r="H44" s="106"/>
      <c r="I44" s="159"/>
      <c r="K44" s="544"/>
      <c r="L44" s="545"/>
      <c r="M44" s="111"/>
      <c r="N44" s="544"/>
    </row>
    <row r="45" spans="1:14" s="100" customFormat="1" ht="13.5" customHeight="1">
      <c r="A45" s="102"/>
      <c r="B45" s="103"/>
      <c r="C45" s="103"/>
      <c r="D45" s="158" t="s">
        <v>484</v>
      </c>
      <c r="E45" s="103"/>
      <c r="F45" s="162"/>
      <c r="G45" s="110"/>
      <c r="H45" s="106"/>
      <c r="I45" s="109"/>
      <c r="K45" s="544"/>
      <c r="L45" s="545"/>
      <c r="M45" s="111"/>
      <c r="N45" s="544"/>
    </row>
    <row r="46" spans="1:14" s="100" customFormat="1" ht="13.5" customHeight="1">
      <c r="A46" s="102"/>
      <c r="B46" s="103"/>
      <c r="C46" s="103"/>
      <c r="D46" s="158" t="s">
        <v>485</v>
      </c>
      <c r="E46" s="103"/>
      <c r="F46" s="162"/>
      <c r="G46" s="110"/>
      <c r="H46" s="106"/>
      <c r="I46" s="109"/>
      <c r="K46" s="544"/>
      <c r="L46" s="545"/>
      <c r="M46" s="111"/>
      <c r="N46" s="544"/>
    </row>
    <row r="47" spans="1:14" s="116" customFormat="1" ht="13.5" customHeight="1">
      <c r="A47" s="115"/>
      <c r="B47" s="105"/>
      <c r="C47" s="97"/>
      <c r="D47" s="158" t="s">
        <v>133</v>
      </c>
      <c r="E47" s="97"/>
      <c r="F47" s="162"/>
      <c r="G47" s="106"/>
      <c r="H47" s="106"/>
      <c r="I47" s="163"/>
      <c r="J47" s="100"/>
      <c r="K47" s="544"/>
      <c r="L47" s="545"/>
      <c r="M47" s="111"/>
      <c r="N47" s="544"/>
    </row>
    <row r="48" spans="1:14" s="100" customFormat="1" ht="13.5" customHeight="1">
      <c r="A48" s="146"/>
      <c r="B48" s="147"/>
      <c r="C48" s="147">
        <v>4</v>
      </c>
      <c r="D48" s="147" t="s">
        <v>51</v>
      </c>
      <c r="E48" s="147"/>
      <c r="F48" s="148"/>
      <c r="G48" s="149"/>
      <c r="H48" s="149">
        <f>SUM(H49:H57)</f>
        <v>1381766.0999999999</v>
      </c>
      <c r="I48" s="109"/>
      <c r="J48" s="541"/>
      <c r="K48" s="544"/>
      <c r="L48" s="545"/>
      <c r="M48" s="111"/>
      <c r="N48" s="544"/>
    </row>
    <row r="49" spans="1:19" s="100" customFormat="1" ht="13.5" customHeight="1">
      <c r="A49" s="165">
        <v>5</v>
      </c>
      <c r="B49" s="105" t="s">
        <v>114</v>
      </c>
      <c r="C49" s="97" t="s">
        <v>134</v>
      </c>
      <c r="D49" s="97" t="s">
        <v>135</v>
      </c>
      <c r="E49" s="97" t="s">
        <v>48</v>
      </c>
      <c r="F49" s="400">
        <f>SUM(F50)</f>
        <v>135.07</v>
      </c>
      <c r="G49" s="106">
        <v>10230</v>
      </c>
      <c r="H49" s="133">
        <f>F49*G49</f>
        <v>1381766.0999999999</v>
      </c>
      <c r="I49" s="99" t="s">
        <v>49</v>
      </c>
      <c r="J49" s="546"/>
      <c r="L49" s="547"/>
      <c r="M49" s="548"/>
      <c r="N49" s="549"/>
    </row>
    <row r="50" spans="1:19" s="100" customFormat="1" ht="27" customHeight="1">
      <c r="A50" s="146"/>
      <c r="B50" s="147"/>
      <c r="C50" s="401"/>
      <c r="D50" s="153" t="s">
        <v>521</v>
      </c>
      <c r="E50" s="147"/>
      <c r="F50" s="113">
        <f>64.8+70.27</f>
        <v>135.07</v>
      </c>
      <c r="G50" s="106"/>
      <c r="H50" s="149"/>
      <c r="I50" s="402"/>
      <c r="J50" s="546"/>
      <c r="K50" s="550"/>
      <c r="L50" s="547"/>
      <c r="M50" s="548"/>
      <c r="N50" s="548"/>
      <c r="O50" s="551"/>
      <c r="P50" s="548"/>
      <c r="Q50" s="552"/>
      <c r="R50" s="553"/>
      <c r="S50" s="554"/>
    </row>
    <row r="51" spans="1:19" s="100" customFormat="1" ht="13.5" customHeight="1">
      <c r="A51" s="146"/>
      <c r="B51" s="147"/>
      <c r="C51" s="401"/>
      <c r="D51" s="80" t="s">
        <v>80</v>
      </c>
      <c r="E51" s="147"/>
      <c r="F51" s="148"/>
      <c r="G51" s="106"/>
      <c r="H51" s="149"/>
      <c r="I51" s="402"/>
      <c r="J51" s="555"/>
      <c r="K51" s="556"/>
      <c r="L51" s="547"/>
      <c r="M51" s="548"/>
      <c r="N51" s="549"/>
      <c r="P51" s="548"/>
      <c r="Q51" s="552"/>
      <c r="R51" s="553"/>
      <c r="S51" s="554"/>
    </row>
    <row r="52" spans="1:19" s="100" customFormat="1" ht="13.5" customHeight="1">
      <c r="A52" s="146"/>
      <c r="B52" s="147"/>
      <c r="C52" s="401"/>
      <c r="D52" s="158" t="s">
        <v>136</v>
      </c>
      <c r="E52" s="147"/>
      <c r="F52" s="148"/>
      <c r="G52" s="106"/>
      <c r="H52" s="149"/>
      <c r="I52" s="150"/>
      <c r="J52" s="555"/>
      <c r="K52" s="556"/>
      <c r="L52" s="547"/>
      <c r="M52" s="548"/>
      <c r="N52" s="549"/>
      <c r="O52" s="551"/>
      <c r="P52" s="548"/>
      <c r="Q52" s="552"/>
      <c r="R52" s="553"/>
      <c r="S52" s="554"/>
    </row>
    <row r="53" spans="1:19" s="100" customFormat="1" ht="13.5" customHeight="1">
      <c r="A53" s="146"/>
      <c r="B53" s="147"/>
      <c r="C53" s="401"/>
      <c r="D53" s="158" t="s">
        <v>137</v>
      </c>
      <c r="E53" s="147"/>
      <c r="F53" s="148"/>
      <c r="G53" s="106"/>
      <c r="H53" s="149"/>
      <c r="I53" s="150"/>
      <c r="J53" s="555"/>
      <c r="K53" s="556"/>
      <c r="L53" s="547"/>
      <c r="M53" s="548"/>
      <c r="N53" s="548"/>
      <c r="O53" s="551"/>
      <c r="P53" s="548"/>
      <c r="Q53" s="552"/>
      <c r="R53" s="553"/>
      <c r="S53" s="554"/>
    </row>
    <row r="54" spans="1:19" s="100" customFormat="1" ht="13.5" customHeight="1">
      <c r="A54" s="146"/>
      <c r="B54" s="147"/>
      <c r="C54" s="401"/>
      <c r="D54" s="158" t="s">
        <v>138</v>
      </c>
      <c r="E54" s="147"/>
      <c r="F54" s="148"/>
      <c r="G54" s="106"/>
      <c r="H54" s="149"/>
      <c r="I54" s="150"/>
      <c r="J54" s="555"/>
      <c r="K54" s="556"/>
      <c r="L54" s="547"/>
      <c r="M54" s="548"/>
      <c r="N54" s="548"/>
      <c r="O54" s="551"/>
      <c r="P54" s="548"/>
      <c r="Q54" s="552"/>
      <c r="R54" s="553"/>
      <c r="S54" s="554"/>
    </row>
    <row r="55" spans="1:19" s="100" customFormat="1" ht="13.5" customHeight="1">
      <c r="A55" s="146"/>
      <c r="B55" s="147"/>
      <c r="C55" s="401"/>
      <c r="D55" s="158" t="s">
        <v>139</v>
      </c>
      <c r="E55" s="147"/>
      <c r="F55" s="148"/>
      <c r="G55" s="106"/>
      <c r="H55" s="149"/>
      <c r="I55" s="150"/>
      <c r="J55" s="555"/>
      <c r="K55" s="556"/>
      <c r="L55" s="547"/>
      <c r="M55" s="548"/>
      <c r="N55" s="548"/>
      <c r="O55" s="551"/>
      <c r="P55" s="548"/>
      <c r="Q55" s="552"/>
      <c r="R55" s="553"/>
      <c r="S55" s="554"/>
    </row>
    <row r="56" spans="1:19" s="100" customFormat="1" ht="13.5" customHeight="1">
      <c r="A56" s="146"/>
      <c r="B56" s="147"/>
      <c r="C56" s="401"/>
      <c r="D56" s="158" t="s">
        <v>133</v>
      </c>
      <c r="E56" s="147"/>
      <c r="F56" s="148"/>
      <c r="G56" s="106"/>
      <c r="H56" s="149"/>
      <c r="I56" s="150"/>
      <c r="J56" s="555"/>
      <c r="K56" s="556"/>
      <c r="L56" s="547"/>
      <c r="M56" s="548"/>
      <c r="N56" s="548"/>
      <c r="O56" s="551"/>
      <c r="P56" s="548"/>
      <c r="Q56" s="552"/>
      <c r="R56" s="553"/>
      <c r="S56" s="554"/>
    </row>
    <row r="57" spans="1:19" s="100" customFormat="1" ht="27" customHeight="1">
      <c r="A57" s="146"/>
      <c r="B57" s="147"/>
      <c r="C57" s="401"/>
      <c r="D57" s="158" t="s">
        <v>140</v>
      </c>
      <c r="E57" s="147"/>
      <c r="F57" s="148"/>
      <c r="G57" s="106"/>
      <c r="H57" s="149"/>
      <c r="I57" s="150"/>
      <c r="J57" s="555"/>
      <c r="K57" s="550"/>
      <c r="L57" s="547"/>
      <c r="M57" s="548"/>
      <c r="N57" s="548"/>
      <c r="O57" s="551"/>
      <c r="P57" s="548"/>
      <c r="Q57" s="552"/>
      <c r="R57" s="553"/>
      <c r="S57" s="554"/>
    </row>
    <row r="58" spans="1:19" s="100" customFormat="1" ht="13.5" customHeight="1">
      <c r="A58" s="146"/>
      <c r="B58" s="147"/>
      <c r="C58" s="164" t="s">
        <v>75</v>
      </c>
      <c r="D58" s="164" t="s">
        <v>86</v>
      </c>
      <c r="E58" s="164"/>
      <c r="F58" s="166"/>
      <c r="G58" s="167"/>
      <c r="H58" s="167">
        <f>SUM(H59:H82)</f>
        <v>3111600</v>
      </c>
      <c r="I58" s="109"/>
      <c r="K58" s="544"/>
      <c r="L58" s="545"/>
      <c r="M58" s="111"/>
      <c r="N58" s="544"/>
    </row>
    <row r="59" spans="1:19" s="92" customFormat="1" ht="13.5" customHeight="1">
      <c r="A59" s="168" t="s">
        <v>75</v>
      </c>
      <c r="B59" s="169" t="s">
        <v>114</v>
      </c>
      <c r="C59" s="89" t="s">
        <v>151</v>
      </c>
      <c r="D59" s="97" t="s">
        <v>152</v>
      </c>
      <c r="E59" s="89" t="s">
        <v>48</v>
      </c>
      <c r="F59" s="98">
        <f>SUM(F60)</f>
        <v>2931.6</v>
      </c>
      <c r="G59" s="106">
        <v>1000</v>
      </c>
      <c r="H59" s="138">
        <f>F59*G59</f>
        <v>2931600</v>
      </c>
      <c r="I59" s="99" t="s">
        <v>49</v>
      </c>
      <c r="J59" s="100"/>
      <c r="K59" s="544"/>
      <c r="L59" s="545"/>
      <c r="M59" s="111"/>
      <c r="N59" s="544"/>
      <c r="O59" s="557"/>
      <c r="P59" s="557"/>
      <c r="Q59" s="557"/>
    </row>
    <row r="60" spans="1:19" s="92" customFormat="1" ht="13.5" customHeight="1">
      <c r="A60" s="168"/>
      <c r="B60" s="169"/>
      <c r="C60" s="89"/>
      <c r="D60" s="80" t="s">
        <v>487</v>
      </c>
      <c r="E60" s="89"/>
      <c r="F60" s="113">
        <f>804.3+453.3+453.3+528.3+692.4</f>
        <v>2931.6</v>
      </c>
      <c r="G60" s="91"/>
      <c r="H60" s="91"/>
      <c r="I60" s="106"/>
      <c r="J60" s="100"/>
      <c r="K60" s="544"/>
      <c r="L60" s="545"/>
      <c r="M60" s="111"/>
      <c r="N60" s="544"/>
    </row>
    <row r="61" spans="1:19" s="92" customFormat="1" ht="13.5" customHeight="1">
      <c r="A61" s="170"/>
      <c r="B61" s="89"/>
      <c r="C61" s="89"/>
      <c r="D61" s="80" t="s">
        <v>80</v>
      </c>
      <c r="E61" s="89"/>
      <c r="F61" s="142"/>
      <c r="G61" s="91"/>
      <c r="H61" s="91"/>
      <c r="I61" s="106"/>
      <c r="J61" s="100"/>
      <c r="K61" s="544"/>
      <c r="L61" s="545"/>
      <c r="M61" s="111"/>
      <c r="N61" s="544"/>
      <c r="O61" s="112"/>
    </row>
    <row r="62" spans="1:19" s="112" customFormat="1" ht="13.5" customHeight="1">
      <c r="A62" s="171"/>
      <c r="B62" s="158"/>
      <c r="C62" s="158"/>
      <c r="D62" s="158" t="s">
        <v>144</v>
      </c>
      <c r="E62" s="158"/>
      <c r="F62" s="113"/>
      <c r="G62" s="172"/>
      <c r="H62" s="172"/>
      <c r="I62" s="106"/>
      <c r="J62" s="100"/>
      <c r="K62" s="544"/>
      <c r="L62" s="545"/>
      <c r="M62" s="111"/>
      <c r="N62" s="544"/>
    </row>
    <row r="63" spans="1:19" s="112" customFormat="1" ht="13.5" customHeight="1">
      <c r="A63" s="171"/>
      <c r="B63" s="158"/>
      <c r="C63" s="158"/>
      <c r="D63" s="158" t="s">
        <v>145</v>
      </c>
      <c r="E63" s="158"/>
      <c r="F63" s="113"/>
      <c r="G63" s="172"/>
      <c r="H63" s="172"/>
      <c r="I63" s="106"/>
      <c r="J63" s="100"/>
      <c r="K63" s="544"/>
      <c r="L63" s="545"/>
      <c r="M63" s="111"/>
      <c r="N63" s="544"/>
      <c r="S63" s="558"/>
    </row>
    <row r="64" spans="1:19" s="112" customFormat="1" ht="13.5" customHeight="1">
      <c r="A64" s="171"/>
      <c r="B64" s="158"/>
      <c r="C64" s="158"/>
      <c r="D64" s="158" t="s">
        <v>147</v>
      </c>
      <c r="E64" s="158"/>
      <c r="F64" s="113"/>
      <c r="G64" s="172"/>
      <c r="H64" s="172"/>
      <c r="I64" s="173"/>
      <c r="J64" s="100"/>
      <c r="K64" s="544"/>
      <c r="L64" s="545"/>
      <c r="M64" s="111"/>
      <c r="N64" s="544"/>
      <c r="S64" s="558"/>
    </row>
    <row r="65" spans="1:19" s="112" customFormat="1" ht="13.5" customHeight="1">
      <c r="A65" s="171"/>
      <c r="B65" s="158"/>
      <c r="C65" s="158"/>
      <c r="D65" s="80" t="s">
        <v>148</v>
      </c>
      <c r="E65" s="158"/>
      <c r="F65" s="113"/>
      <c r="G65" s="172"/>
      <c r="H65" s="172"/>
      <c r="I65" s="173"/>
      <c r="J65" s="100"/>
      <c r="K65" s="544"/>
      <c r="L65" s="545"/>
      <c r="M65" s="111"/>
      <c r="N65" s="544"/>
    </row>
    <row r="66" spans="1:19" s="112" customFormat="1" ht="27" customHeight="1">
      <c r="A66" s="171"/>
      <c r="B66" s="158"/>
      <c r="C66" s="158"/>
      <c r="D66" s="80" t="s">
        <v>149</v>
      </c>
      <c r="E66" s="158"/>
      <c r="F66" s="113"/>
      <c r="G66" s="172"/>
      <c r="H66" s="172"/>
      <c r="I66" s="173"/>
      <c r="J66" s="100"/>
      <c r="K66" s="544"/>
      <c r="L66" s="545"/>
      <c r="M66" s="111"/>
      <c r="N66" s="544"/>
    </row>
    <row r="67" spans="1:19" s="112" customFormat="1" ht="13.5" customHeight="1">
      <c r="A67" s="171"/>
      <c r="B67" s="158"/>
      <c r="C67" s="158"/>
      <c r="D67" s="158" t="s">
        <v>133</v>
      </c>
      <c r="E67" s="158"/>
      <c r="F67" s="113"/>
      <c r="G67" s="172"/>
      <c r="H67" s="172"/>
      <c r="I67" s="173"/>
      <c r="J67" s="100"/>
      <c r="K67" s="544"/>
      <c r="L67" s="545"/>
      <c r="M67" s="111"/>
      <c r="N67" s="544"/>
    </row>
    <row r="68" spans="1:19" s="112" customFormat="1" ht="13.5" customHeight="1">
      <c r="A68" s="171"/>
      <c r="B68" s="158"/>
      <c r="C68" s="158"/>
      <c r="D68" s="158" t="s">
        <v>150</v>
      </c>
      <c r="E68" s="158"/>
      <c r="F68" s="113"/>
      <c r="G68" s="172"/>
      <c r="H68" s="172"/>
      <c r="I68" s="173"/>
      <c r="J68" s="100"/>
      <c r="K68" s="544"/>
      <c r="L68" s="545"/>
      <c r="M68" s="111"/>
      <c r="N68" s="544"/>
      <c r="P68" s="559"/>
    </row>
    <row r="69" spans="1:19" s="145" customFormat="1" ht="13.5" customHeight="1">
      <c r="A69" s="140"/>
      <c r="B69" s="141"/>
      <c r="C69" s="141"/>
      <c r="D69" s="101" t="s">
        <v>153</v>
      </c>
      <c r="E69" s="141"/>
      <c r="F69" s="160"/>
      <c r="G69" s="143"/>
      <c r="H69" s="143"/>
      <c r="I69" s="159"/>
      <c r="J69" s="100"/>
      <c r="K69" s="544"/>
      <c r="L69" s="545"/>
      <c r="M69" s="111"/>
      <c r="N69" s="544"/>
    </row>
    <row r="70" spans="1:19" s="100" customFormat="1" ht="13.5" customHeight="1">
      <c r="A70" s="403">
        <v>7</v>
      </c>
      <c r="B70" s="105" t="s">
        <v>114</v>
      </c>
      <c r="C70" s="97" t="s">
        <v>165</v>
      </c>
      <c r="D70" s="404" t="s">
        <v>166</v>
      </c>
      <c r="E70" s="97" t="s">
        <v>23</v>
      </c>
      <c r="F70" s="175">
        <f>SUM(F71)</f>
        <v>1</v>
      </c>
      <c r="G70" s="98">
        <v>80000</v>
      </c>
      <c r="H70" s="133">
        <f>F70*G70</f>
        <v>80000</v>
      </c>
      <c r="I70" s="99" t="s">
        <v>49</v>
      </c>
      <c r="J70" s="621"/>
    </row>
    <row r="71" spans="1:19" s="92" customFormat="1" ht="13.5" customHeight="1">
      <c r="A71" s="168"/>
      <c r="B71" s="169"/>
      <c r="C71" s="89"/>
      <c r="D71" s="80" t="s">
        <v>167</v>
      </c>
      <c r="E71" s="89"/>
      <c r="F71" s="405">
        <v>1</v>
      </c>
      <c r="G71" s="91"/>
      <c r="H71" s="91"/>
      <c r="I71" s="99"/>
      <c r="J71" s="540"/>
      <c r="K71" s="538"/>
      <c r="L71" s="538"/>
      <c r="M71" s="537"/>
      <c r="N71" s="111"/>
      <c r="O71" s="578"/>
    </row>
    <row r="72" spans="1:19" s="92" customFormat="1" ht="13.5" customHeight="1">
      <c r="A72" s="170"/>
      <c r="B72" s="89"/>
      <c r="C72" s="89"/>
      <c r="D72" s="80" t="s">
        <v>80</v>
      </c>
      <c r="E72" s="89"/>
      <c r="F72" s="142"/>
      <c r="G72" s="91"/>
      <c r="H72" s="91"/>
      <c r="I72" s="176"/>
      <c r="J72" s="537"/>
      <c r="K72" s="538"/>
      <c r="L72" s="538"/>
      <c r="M72" s="537"/>
      <c r="N72" s="539"/>
    </row>
    <row r="73" spans="1:19" s="112" customFormat="1" ht="13.5" customHeight="1">
      <c r="A73" s="171"/>
      <c r="B73" s="158"/>
      <c r="C73" s="158"/>
      <c r="D73" s="158" t="s">
        <v>168</v>
      </c>
      <c r="E73" s="158"/>
      <c r="F73" s="113"/>
      <c r="G73" s="172"/>
      <c r="H73" s="172"/>
      <c r="I73" s="173"/>
      <c r="J73" s="537"/>
      <c r="K73" s="538"/>
      <c r="L73" s="538"/>
      <c r="M73" s="537"/>
      <c r="N73" s="111"/>
    </row>
    <row r="74" spans="1:19" s="112" customFormat="1" ht="27" customHeight="1">
      <c r="A74" s="171"/>
      <c r="B74" s="158"/>
      <c r="C74" s="158"/>
      <c r="D74" s="158" t="s">
        <v>169</v>
      </c>
      <c r="E74" s="158"/>
      <c r="F74" s="113"/>
      <c r="G74" s="172"/>
      <c r="H74" s="172"/>
      <c r="I74" s="173"/>
      <c r="J74" s="540"/>
      <c r="K74" s="538"/>
      <c r="L74" s="538"/>
      <c r="M74" s="537"/>
      <c r="N74" s="111"/>
      <c r="S74" s="558"/>
    </row>
    <row r="75" spans="1:19" s="112" customFormat="1" ht="27" customHeight="1">
      <c r="A75" s="171"/>
      <c r="B75" s="158"/>
      <c r="C75" s="158"/>
      <c r="D75" s="158" t="s">
        <v>170</v>
      </c>
      <c r="E75" s="158"/>
      <c r="F75" s="113"/>
      <c r="G75" s="172"/>
      <c r="H75" s="172"/>
      <c r="I75" s="173"/>
      <c r="J75" s="537"/>
      <c r="K75" s="538"/>
      <c r="L75" s="538"/>
      <c r="M75" s="537"/>
      <c r="N75" s="111"/>
    </row>
    <row r="76" spans="1:19" s="112" customFormat="1" ht="13.5" customHeight="1">
      <c r="A76" s="171"/>
      <c r="B76" s="158"/>
      <c r="C76" s="158"/>
      <c r="D76" s="80" t="s">
        <v>171</v>
      </c>
      <c r="E76" s="158"/>
      <c r="F76" s="113"/>
      <c r="G76" s="172"/>
      <c r="H76" s="172"/>
      <c r="I76" s="173"/>
      <c r="J76" s="537"/>
      <c r="K76" s="538"/>
      <c r="L76" s="538"/>
      <c r="M76" s="537"/>
      <c r="N76" s="539"/>
    </row>
    <row r="77" spans="1:19" s="112" customFormat="1" ht="13.5" customHeight="1">
      <c r="A77" s="171"/>
      <c r="B77" s="158"/>
      <c r="C77" s="158"/>
      <c r="D77" s="80" t="s">
        <v>133</v>
      </c>
      <c r="E77" s="158"/>
      <c r="F77" s="113"/>
      <c r="G77" s="172"/>
      <c r="H77" s="172"/>
      <c r="I77" s="173"/>
      <c r="J77" s="537"/>
      <c r="K77" s="538"/>
      <c r="L77" s="538"/>
      <c r="M77" s="537"/>
      <c r="N77" s="111"/>
      <c r="O77" s="628"/>
      <c r="P77" s="548"/>
    </row>
    <row r="78" spans="1:19" s="112" customFormat="1" ht="13.5" customHeight="1">
      <c r="A78" s="171"/>
      <c r="B78" s="158"/>
      <c r="C78" s="158"/>
      <c r="D78" s="158" t="s">
        <v>172</v>
      </c>
      <c r="E78" s="158"/>
      <c r="F78" s="113"/>
      <c r="G78" s="172"/>
      <c r="H78" s="172"/>
      <c r="I78" s="173"/>
      <c r="J78" s="537"/>
      <c r="K78" s="538"/>
      <c r="L78" s="538"/>
      <c r="M78" s="537"/>
      <c r="N78" s="111"/>
      <c r="P78" s="559"/>
    </row>
    <row r="79" spans="1:19" s="116" customFormat="1" ht="13.5" customHeight="1">
      <c r="A79" s="96">
        <v>8</v>
      </c>
      <c r="B79" s="105" t="s">
        <v>114</v>
      </c>
      <c r="C79" s="97" t="s">
        <v>173</v>
      </c>
      <c r="D79" s="97" t="s">
        <v>646</v>
      </c>
      <c r="E79" s="97" t="s">
        <v>23</v>
      </c>
      <c r="F79" s="400">
        <f>SUM(F80:F80)</f>
        <v>1</v>
      </c>
      <c r="G79" s="106">
        <v>100000</v>
      </c>
      <c r="H79" s="133">
        <f>F79*G79</f>
        <v>100000</v>
      </c>
      <c r="I79" s="99" t="s">
        <v>49</v>
      </c>
      <c r="J79" s="537"/>
      <c r="K79" s="538"/>
      <c r="L79" s="538"/>
      <c r="M79" s="537"/>
      <c r="N79" s="539"/>
      <c r="O79" s="645"/>
      <c r="P79" s="645"/>
      <c r="Q79" s="645"/>
      <c r="R79" s="645"/>
    </row>
    <row r="80" spans="1:19" s="116" customFormat="1" ht="27" customHeight="1">
      <c r="A80" s="115"/>
      <c r="B80" s="164"/>
      <c r="C80" s="164"/>
      <c r="D80" s="101" t="s">
        <v>174</v>
      </c>
      <c r="E80" s="97"/>
      <c r="F80" s="113">
        <v>1</v>
      </c>
      <c r="G80" s="406"/>
      <c r="H80" s="406"/>
      <c r="I80" s="407"/>
      <c r="J80" s="646"/>
      <c r="K80" s="577"/>
      <c r="L80" s="538"/>
      <c r="M80" s="537"/>
      <c r="N80" s="100"/>
      <c r="S80" s="647"/>
    </row>
    <row r="81" spans="1:19" s="116" customFormat="1" ht="27" customHeight="1">
      <c r="A81" s="115"/>
      <c r="B81" s="164"/>
      <c r="C81" s="164"/>
      <c r="D81" s="101" t="s">
        <v>175</v>
      </c>
      <c r="E81" s="97"/>
      <c r="F81" s="113"/>
      <c r="G81" s="406"/>
      <c r="H81" s="406"/>
      <c r="I81" s="407"/>
      <c r="J81" s="646"/>
      <c r="K81" s="577"/>
      <c r="L81" s="538"/>
      <c r="M81" s="537"/>
      <c r="N81" s="100"/>
      <c r="S81" s="647"/>
    </row>
    <row r="82" spans="1:19" s="116" customFormat="1" ht="67.5" customHeight="1">
      <c r="A82" s="408"/>
      <c r="B82" s="177"/>
      <c r="C82" s="178"/>
      <c r="D82" s="84" t="s">
        <v>57</v>
      </c>
      <c r="E82" s="179"/>
      <c r="F82" s="409"/>
      <c r="G82" s="180"/>
      <c r="H82" s="236"/>
      <c r="I82" s="410"/>
      <c r="J82" s="540"/>
      <c r="K82" s="538"/>
      <c r="L82" s="538"/>
      <c r="M82" s="537"/>
      <c r="N82" s="100"/>
    </row>
    <row r="83" spans="1:19" s="100" customFormat="1" ht="13.5" customHeight="1">
      <c r="A83" s="146"/>
      <c r="B83" s="147"/>
      <c r="C83" s="147" t="s">
        <v>78</v>
      </c>
      <c r="D83" s="147" t="s">
        <v>87</v>
      </c>
      <c r="E83" s="147"/>
      <c r="F83" s="148"/>
      <c r="G83" s="149"/>
      <c r="H83" s="149">
        <f>SUM(H84:H137)</f>
        <v>4272550.13</v>
      </c>
      <c r="I83" s="150"/>
      <c r="J83" s="529"/>
      <c r="K83" s="544"/>
      <c r="L83" s="545"/>
      <c r="M83" s="111"/>
      <c r="N83" s="544"/>
      <c r="Q83" s="560"/>
    </row>
    <row r="84" spans="1:19" s="100" customFormat="1" ht="13.5" customHeight="1">
      <c r="A84" s="274">
        <v>9</v>
      </c>
      <c r="B84" s="182" t="s">
        <v>380</v>
      </c>
      <c r="C84" s="183" t="s">
        <v>381</v>
      </c>
      <c r="D84" s="183" t="s">
        <v>382</v>
      </c>
      <c r="E84" s="183" t="s">
        <v>48</v>
      </c>
      <c r="F84" s="256">
        <f>SUM(F85)</f>
        <v>189.75799999999998</v>
      </c>
      <c r="G84" s="276">
        <v>2233</v>
      </c>
      <c r="H84" s="138">
        <f>F84*G84</f>
        <v>423729.61399999994</v>
      </c>
      <c r="I84" s="99" t="s">
        <v>49</v>
      </c>
      <c r="K84" s="544"/>
      <c r="L84" s="545"/>
      <c r="M84" s="111"/>
      <c r="N84" s="544"/>
      <c r="Q84" s="560"/>
    </row>
    <row r="85" spans="1:19" s="145" customFormat="1" ht="13.5" customHeight="1">
      <c r="A85" s="140"/>
      <c r="B85" s="141"/>
      <c r="C85" s="141"/>
      <c r="D85" s="273" t="s">
        <v>493</v>
      </c>
      <c r="E85" s="183"/>
      <c r="F85" s="275">
        <f>3.72+10.23+3.062+9.765+13.175+19.22+4.108+8.144+5.918+73.976+38.44</f>
        <v>189.75799999999998</v>
      </c>
      <c r="G85" s="143"/>
      <c r="H85" s="143"/>
      <c r="I85" s="143"/>
      <c r="J85" s="100"/>
      <c r="L85" s="629"/>
      <c r="M85" s="630"/>
      <c r="N85" s="272"/>
      <c r="O85" s="631"/>
    </row>
    <row r="86" spans="1:19" s="145" customFormat="1" ht="13.5" customHeight="1">
      <c r="A86" s="140"/>
      <c r="B86" s="141"/>
      <c r="C86" s="141"/>
      <c r="D86" s="273" t="s">
        <v>383</v>
      </c>
      <c r="E86" s="141"/>
      <c r="F86" s="160"/>
      <c r="G86" s="143"/>
      <c r="H86" s="143"/>
      <c r="I86" s="143"/>
      <c r="J86" s="100"/>
      <c r="L86" s="629"/>
      <c r="M86" s="630"/>
      <c r="N86" s="272"/>
      <c r="O86" s="631"/>
    </row>
    <row r="87" spans="1:19" s="258" customFormat="1" ht="66.900000000000006" customHeight="1">
      <c r="A87" s="255"/>
      <c r="B87" s="279"/>
      <c r="C87" s="277"/>
      <c r="D87" s="108" t="s">
        <v>57</v>
      </c>
      <c r="E87" s="273"/>
      <c r="F87" s="280"/>
      <c r="G87" s="256"/>
      <c r="H87" s="256"/>
      <c r="I87" s="256"/>
      <c r="J87" s="100"/>
      <c r="L87" s="629"/>
      <c r="M87" s="630"/>
      <c r="N87" s="272"/>
      <c r="O87" s="631"/>
    </row>
    <row r="88" spans="1:19" s="100" customFormat="1" ht="13.5" customHeight="1">
      <c r="A88" s="274">
        <v>10</v>
      </c>
      <c r="B88" s="182" t="s">
        <v>380</v>
      </c>
      <c r="C88" s="183" t="s">
        <v>384</v>
      </c>
      <c r="D88" s="183" t="s">
        <v>385</v>
      </c>
      <c r="E88" s="183" t="s">
        <v>47</v>
      </c>
      <c r="F88" s="256">
        <f>SUM(F89)</f>
        <v>43.356999999999999</v>
      </c>
      <c r="G88" s="276">
        <v>16560</v>
      </c>
      <c r="H88" s="138">
        <f>F88*G88</f>
        <v>717991.92</v>
      </c>
      <c r="I88" s="99" t="s">
        <v>49</v>
      </c>
      <c r="K88" s="544"/>
      <c r="L88" s="545"/>
      <c r="M88" s="111"/>
      <c r="N88" s="544"/>
      <c r="Q88" s="560"/>
    </row>
    <row r="89" spans="1:19" s="145" customFormat="1" ht="13.5" customHeight="1">
      <c r="A89" s="140"/>
      <c r="B89" s="141"/>
      <c r="C89" s="141"/>
      <c r="D89" s="273" t="s">
        <v>492</v>
      </c>
      <c r="E89" s="183"/>
      <c r="F89" s="275">
        <f>26.77+11.965+27.346-22.724</f>
        <v>43.356999999999999</v>
      </c>
      <c r="G89" s="143"/>
      <c r="H89" s="143"/>
      <c r="I89" s="143"/>
      <c r="J89" s="100"/>
      <c r="L89" s="629"/>
      <c r="M89" s="630"/>
      <c r="N89" s="272"/>
      <c r="O89" s="631"/>
    </row>
    <row r="90" spans="1:19" s="145" customFormat="1" ht="13.5" customHeight="1">
      <c r="A90" s="140"/>
      <c r="B90" s="141"/>
      <c r="C90" s="141"/>
      <c r="D90" s="273" t="s">
        <v>386</v>
      </c>
      <c r="E90" s="141"/>
      <c r="F90" s="160"/>
      <c r="G90" s="143"/>
      <c r="H90" s="143"/>
      <c r="I90" s="143"/>
      <c r="J90" s="100"/>
      <c r="L90" s="629"/>
      <c r="M90" s="630"/>
      <c r="N90" s="272"/>
      <c r="O90" s="631"/>
    </row>
    <row r="91" spans="1:19" s="258" customFormat="1" ht="66.900000000000006" customHeight="1">
      <c r="A91" s="255"/>
      <c r="B91" s="279"/>
      <c r="C91" s="277"/>
      <c r="D91" s="108" t="s">
        <v>57</v>
      </c>
      <c r="E91" s="273"/>
      <c r="F91" s="280"/>
      <c r="G91" s="256"/>
      <c r="H91" s="256"/>
      <c r="I91" s="256"/>
      <c r="J91" s="100"/>
      <c r="L91" s="629"/>
      <c r="M91" s="630"/>
      <c r="N91" s="272"/>
      <c r="O91" s="631"/>
    </row>
    <row r="92" spans="1:19" s="258" customFormat="1" ht="27" customHeight="1">
      <c r="A92" s="415">
        <v>11</v>
      </c>
      <c r="B92" s="416" t="s">
        <v>380</v>
      </c>
      <c r="C92" s="417" t="s">
        <v>529</v>
      </c>
      <c r="D92" s="417" t="s">
        <v>530</v>
      </c>
      <c r="E92" s="417" t="s">
        <v>48</v>
      </c>
      <c r="F92" s="414">
        <f>SUM(F94)</f>
        <v>63.3</v>
      </c>
      <c r="G92" s="414">
        <v>2050</v>
      </c>
      <c r="H92" s="420">
        <f>F92*G92</f>
        <v>129765</v>
      </c>
      <c r="I92" s="418" t="s">
        <v>58</v>
      </c>
      <c r="K92" s="635"/>
      <c r="L92" s="632"/>
      <c r="M92" s="632"/>
      <c r="N92" s="606"/>
      <c r="O92" s="539"/>
    </row>
    <row r="93" spans="1:19" s="258" customFormat="1" ht="13.5" customHeight="1">
      <c r="A93" s="415"/>
      <c r="B93" s="416"/>
      <c r="C93" s="417"/>
      <c r="D93" s="413" t="s">
        <v>531</v>
      </c>
      <c r="E93" s="417"/>
      <c r="F93" s="414"/>
      <c r="G93" s="414"/>
      <c r="H93" s="420"/>
      <c r="I93" s="420"/>
      <c r="J93" s="418"/>
      <c r="K93" s="606"/>
      <c r="L93" s="632"/>
      <c r="M93" s="632"/>
      <c r="N93" s="606"/>
    </row>
    <row r="94" spans="1:19" s="258" customFormat="1" ht="13.5" customHeight="1">
      <c r="A94" s="415"/>
      <c r="B94" s="416"/>
      <c r="C94" s="417"/>
      <c r="D94" s="413" t="s">
        <v>534</v>
      </c>
      <c r="E94" s="417"/>
      <c r="F94" s="419">
        <f>31.65*2</f>
        <v>63.3</v>
      </c>
      <c r="G94" s="420"/>
      <c r="H94" s="420"/>
      <c r="I94" s="420"/>
      <c r="J94" s="636"/>
      <c r="K94" s="606"/>
      <c r="L94" s="632"/>
      <c r="M94" s="632"/>
      <c r="N94" s="606"/>
    </row>
    <row r="95" spans="1:19" s="258" customFormat="1" ht="40.5" customHeight="1">
      <c r="A95" s="411"/>
      <c r="B95" s="416"/>
      <c r="C95" s="417"/>
      <c r="D95" s="413" t="s">
        <v>532</v>
      </c>
      <c r="E95" s="417"/>
      <c r="F95" s="419"/>
      <c r="G95" s="414"/>
      <c r="H95" s="414"/>
      <c r="I95" s="414"/>
      <c r="J95" s="636"/>
      <c r="K95" s="606"/>
      <c r="L95" s="632"/>
      <c r="M95" s="632"/>
      <c r="N95" s="606"/>
    </row>
    <row r="96" spans="1:19" s="258" customFormat="1" ht="40.5" customHeight="1">
      <c r="A96" s="411"/>
      <c r="B96" s="416"/>
      <c r="C96" s="417"/>
      <c r="D96" s="413" t="s">
        <v>533</v>
      </c>
      <c r="E96" s="417"/>
      <c r="F96" s="419"/>
      <c r="G96" s="414"/>
      <c r="H96" s="414"/>
      <c r="I96" s="414"/>
      <c r="J96" s="636"/>
      <c r="K96" s="606"/>
      <c r="L96" s="632"/>
      <c r="M96" s="632"/>
      <c r="N96" s="606"/>
    </row>
    <row r="97" spans="1:15" s="258" customFormat="1" ht="54" customHeight="1">
      <c r="A97" s="411"/>
      <c r="B97" s="416"/>
      <c r="C97" s="417"/>
      <c r="D97" s="413" t="s">
        <v>528</v>
      </c>
      <c r="E97" s="417"/>
      <c r="F97" s="419"/>
      <c r="G97" s="414"/>
      <c r="H97" s="414"/>
      <c r="I97" s="414"/>
      <c r="J97" s="636"/>
      <c r="K97" s="606"/>
      <c r="L97" s="632"/>
      <c r="M97" s="632"/>
      <c r="N97" s="606"/>
    </row>
    <row r="98" spans="1:15" s="422" customFormat="1" ht="66.900000000000006" customHeight="1">
      <c r="A98" s="415"/>
      <c r="B98" s="417"/>
      <c r="C98" s="417"/>
      <c r="D98" s="412" t="s">
        <v>57</v>
      </c>
      <c r="E98" s="417"/>
      <c r="F98" s="421"/>
      <c r="G98" s="420"/>
      <c r="H98" s="420"/>
      <c r="I98" s="420"/>
      <c r="J98" s="418"/>
      <c r="K98" s="606"/>
      <c r="L98" s="632"/>
      <c r="M98" s="632"/>
      <c r="N98" s="606"/>
    </row>
    <row r="99" spans="1:15" s="258" customFormat="1" ht="27" customHeight="1">
      <c r="A99" s="415">
        <v>12</v>
      </c>
      <c r="B99" s="416" t="s">
        <v>380</v>
      </c>
      <c r="C99" s="417" t="s">
        <v>526</v>
      </c>
      <c r="D99" s="417" t="s">
        <v>535</v>
      </c>
      <c r="E99" s="417" t="s">
        <v>48</v>
      </c>
      <c r="F99" s="414">
        <f>SUM(F100:F100)</f>
        <v>1143.3800000000001</v>
      </c>
      <c r="G99" s="414">
        <v>990</v>
      </c>
      <c r="H99" s="420">
        <f>F99*G99</f>
        <v>1131946.2000000002</v>
      </c>
      <c r="I99" s="418" t="s">
        <v>58</v>
      </c>
      <c r="K99" s="606"/>
      <c r="L99" s="632"/>
      <c r="M99" s="632"/>
      <c r="N99" s="606"/>
      <c r="O99" s="539"/>
    </row>
    <row r="100" spans="1:15" s="258" customFormat="1" ht="13.5" customHeight="1">
      <c r="A100" s="415"/>
      <c r="B100" s="416"/>
      <c r="C100" s="417"/>
      <c r="D100" s="413" t="s">
        <v>536</v>
      </c>
      <c r="E100" s="417"/>
      <c r="F100" s="419">
        <f>288.89+232.31+232.4+230.08+223-63.3</f>
        <v>1143.3800000000001</v>
      </c>
      <c r="G100" s="420"/>
      <c r="H100" s="420"/>
      <c r="I100" s="420"/>
      <c r="J100" s="636"/>
      <c r="K100" s="606"/>
      <c r="L100" s="632"/>
      <c r="M100" s="632"/>
      <c r="N100" s="606"/>
    </row>
    <row r="101" spans="1:15" s="258" customFormat="1" ht="40.5" customHeight="1">
      <c r="A101" s="411"/>
      <c r="B101" s="416"/>
      <c r="C101" s="417"/>
      <c r="D101" s="413" t="s">
        <v>527</v>
      </c>
      <c r="E101" s="417"/>
      <c r="F101" s="419"/>
      <c r="G101" s="414"/>
      <c r="H101" s="414"/>
      <c r="I101" s="414"/>
      <c r="J101" s="636"/>
      <c r="K101" s="606"/>
      <c r="L101" s="632"/>
      <c r="M101" s="632"/>
      <c r="N101" s="606"/>
    </row>
    <row r="102" spans="1:15" s="258" customFormat="1" ht="54" customHeight="1">
      <c r="A102" s="411"/>
      <c r="B102" s="416"/>
      <c r="C102" s="417"/>
      <c r="D102" s="413" t="s">
        <v>528</v>
      </c>
      <c r="E102" s="417"/>
      <c r="F102" s="419"/>
      <c r="G102" s="414"/>
      <c r="H102" s="414"/>
      <c r="I102" s="414"/>
      <c r="J102" s="636"/>
      <c r="K102" s="606"/>
      <c r="L102" s="632"/>
      <c r="M102" s="632"/>
      <c r="N102" s="606"/>
    </row>
    <row r="103" spans="1:15" s="258" customFormat="1" ht="66.900000000000006" customHeight="1">
      <c r="A103" s="415"/>
      <c r="B103" s="416"/>
      <c r="C103" s="417"/>
      <c r="D103" s="412" t="s">
        <v>57</v>
      </c>
      <c r="E103" s="417"/>
      <c r="F103" s="419"/>
      <c r="G103" s="420"/>
      <c r="H103" s="420"/>
      <c r="I103" s="420"/>
      <c r="J103" s="636"/>
      <c r="K103" s="606"/>
      <c r="L103" s="632"/>
      <c r="M103" s="632"/>
      <c r="N103" s="606"/>
    </row>
    <row r="104" spans="1:15" s="258" customFormat="1" ht="27" customHeight="1">
      <c r="A104" s="415">
        <v>13</v>
      </c>
      <c r="B104" s="416" t="s">
        <v>380</v>
      </c>
      <c r="C104" s="417" t="s">
        <v>655</v>
      </c>
      <c r="D104" s="417" t="s">
        <v>537</v>
      </c>
      <c r="E104" s="417" t="s">
        <v>48</v>
      </c>
      <c r="F104" s="414">
        <f>SUM(F105:F105)</f>
        <v>44.8</v>
      </c>
      <c r="G104" s="414">
        <v>1200</v>
      </c>
      <c r="H104" s="420">
        <f>F104*G104</f>
        <v>53760</v>
      </c>
      <c r="I104" s="418" t="s">
        <v>58</v>
      </c>
      <c r="J104" s="418"/>
      <c r="K104" s="606"/>
      <c r="L104" s="632"/>
      <c r="M104" s="632"/>
      <c r="N104" s="606"/>
      <c r="O104" s="539"/>
    </row>
    <row r="105" spans="1:15" s="258" customFormat="1" ht="13.5" customHeight="1">
      <c r="A105" s="415"/>
      <c r="B105" s="416"/>
      <c r="C105" s="417"/>
      <c r="D105" s="413" t="s">
        <v>538</v>
      </c>
      <c r="E105" s="417"/>
      <c r="F105" s="113">
        <f>22.4*2</f>
        <v>44.8</v>
      </c>
      <c r="G105" s="420"/>
      <c r="H105" s="420"/>
      <c r="I105" s="420"/>
      <c r="J105" s="636"/>
      <c r="K105" s="606"/>
      <c r="L105" s="632"/>
      <c r="M105" s="632"/>
      <c r="N105" s="606"/>
    </row>
    <row r="106" spans="1:15" s="258" customFormat="1" ht="27" customHeight="1">
      <c r="A106" s="411"/>
      <c r="B106" s="416"/>
      <c r="C106" s="417"/>
      <c r="D106" s="413" t="s">
        <v>539</v>
      </c>
      <c r="E106" s="417"/>
      <c r="F106" s="419"/>
      <c r="G106" s="414"/>
      <c r="H106" s="414"/>
      <c r="I106" s="414"/>
      <c r="J106" s="636"/>
      <c r="K106" s="606"/>
      <c r="L106" s="632"/>
      <c r="M106" s="632"/>
      <c r="N106" s="606"/>
    </row>
    <row r="107" spans="1:15" s="258" customFormat="1" ht="66.900000000000006" customHeight="1">
      <c r="A107" s="415"/>
      <c r="B107" s="416"/>
      <c r="C107" s="417"/>
      <c r="D107" s="412" t="s">
        <v>57</v>
      </c>
      <c r="E107" s="417"/>
      <c r="F107" s="419"/>
      <c r="G107" s="420"/>
      <c r="H107" s="420"/>
      <c r="I107" s="420"/>
      <c r="J107" s="636"/>
      <c r="K107" s="606"/>
      <c r="L107" s="632"/>
      <c r="M107" s="632"/>
      <c r="N107" s="606"/>
    </row>
    <row r="108" spans="1:15" s="258" customFormat="1" ht="13.5" customHeight="1">
      <c r="A108" s="415">
        <v>14</v>
      </c>
      <c r="B108" s="416" t="s">
        <v>380</v>
      </c>
      <c r="C108" s="417" t="s">
        <v>656</v>
      </c>
      <c r="D108" s="417" t="s">
        <v>540</v>
      </c>
      <c r="E108" s="417" t="s">
        <v>48</v>
      </c>
      <c r="F108" s="414">
        <f>SUM(F109:F109)</f>
        <v>1345.3926000000001</v>
      </c>
      <c r="G108" s="414">
        <v>300</v>
      </c>
      <c r="H108" s="420">
        <f>F108*G108</f>
        <v>403617.78</v>
      </c>
      <c r="I108" s="418" t="s">
        <v>58</v>
      </c>
      <c r="J108" s="418"/>
      <c r="K108" s="606"/>
      <c r="L108" s="632"/>
      <c r="M108" s="632"/>
      <c r="N108" s="606"/>
      <c r="O108" s="539"/>
    </row>
    <row r="109" spans="1:15" s="258" customFormat="1" ht="13.5" customHeight="1">
      <c r="A109" s="415"/>
      <c r="B109" s="416"/>
      <c r="C109" s="417"/>
      <c r="D109" s="413" t="s">
        <v>541</v>
      </c>
      <c r="E109" s="417"/>
      <c r="F109" s="113">
        <f>((15.9*2+3.705*2+3.805*2+5.965*4)*18.445)+(10*4.17)</f>
        <v>1345.3926000000001</v>
      </c>
      <c r="G109" s="420"/>
      <c r="H109" s="420"/>
      <c r="I109" s="420"/>
      <c r="J109" s="636"/>
      <c r="K109" s="606"/>
      <c r="L109" s="632"/>
      <c r="M109" s="632"/>
      <c r="N109" s="606"/>
    </row>
    <row r="110" spans="1:15" s="258" customFormat="1" ht="27" customHeight="1">
      <c r="A110" s="411"/>
      <c r="B110" s="416"/>
      <c r="C110" s="417"/>
      <c r="D110" s="413" t="s">
        <v>542</v>
      </c>
      <c r="E110" s="417"/>
      <c r="F110" s="419"/>
      <c r="G110" s="414"/>
      <c r="H110" s="414"/>
      <c r="I110" s="414"/>
      <c r="J110" s="636"/>
      <c r="K110" s="606"/>
      <c r="L110" s="632"/>
      <c r="M110" s="632"/>
      <c r="N110" s="606"/>
    </row>
    <row r="111" spans="1:15" s="258" customFormat="1" ht="66.900000000000006" customHeight="1">
      <c r="A111" s="415"/>
      <c r="B111" s="416"/>
      <c r="C111" s="417"/>
      <c r="D111" s="412" t="s">
        <v>57</v>
      </c>
      <c r="E111" s="417"/>
      <c r="F111" s="419"/>
      <c r="G111" s="420"/>
      <c r="H111" s="420"/>
      <c r="I111" s="420"/>
      <c r="J111" s="636"/>
      <c r="K111" s="606"/>
      <c r="L111" s="632"/>
      <c r="M111" s="632"/>
      <c r="N111" s="606"/>
    </row>
    <row r="112" spans="1:15" s="258" customFormat="1" ht="27" customHeight="1">
      <c r="A112" s="255">
        <v>15</v>
      </c>
      <c r="B112" s="93" t="s">
        <v>380</v>
      </c>
      <c r="C112" s="183" t="s">
        <v>387</v>
      </c>
      <c r="D112" s="183" t="s">
        <v>388</v>
      </c>
      <c r="E112" s="183" t="s">
        <v>23</v>
      </c>
      <c r="F112" s="282">
        <f>SUM(F114:F114)</f>
        <v>1</v>
      </c>
      <c r="G112" s="276">
        <v>103000</v>
      </c>
      <c r="H112" s="138">
        <f>F112*G112</f>
        <v>103000</v>
      </c>
      <c r="I112" s="99" t="s">
        <v>49</v>
      </c>
      <c r="J112" s="100"/>
      <c r="K112" s="608"/>
      <c r="L112" s="629"/>
      <c r="M112" s="630"/>
      <c r="N112" s="272"/>
      <c r="O112" s="631"/>
    </row>
    <row r="113" spans="1:18" s="258" customFormat="1" ht="13.5" customHeight="1">
      <c r="A113" s="255"/>
      <c r="B113" s="182"/>
      <c r="C113" s="183"/>
      <c r="D113" s="273" t="s">
        <v>389</v>
      </c>
      <c r="E113" s="183"/>
      <c r="F113" s="257"/>
      <c r="G113" s="256"/>
      <c r="H113" s="256"/>
      <c r="I113" s="256"/>
      <c r="J113" s="100"/>
      <c r="K113" s="607"/>
      <c r="L113" s="629"/>
      <c r="M113" s="630"/>
      <c r="N113" s="272"/>
      <c r="O113" s="631"/>
    </row>
    <row r="114" spans="1:18" s="258" customFormat="1" ht="13.5" customHeight="1">
      <c r="A114" s="255"/>
      <c r="B114" s="182"/>
      <c r="C114" s="183"/>
      <c r="D114" s="281" t="s">
        <v>495</v>
      </c>
      <c r="E114" s="281"/>
      <c r="F114" s="283">
        <v>1</v>
      </c>
      <c r="G114" s="256"/>
      <c r="H114" s="256"/>
      <c r="I114" s="256"/>
      <c r="J114" s="100"/>
      <c r="K114" s="607"/>
      <c r="L114" s="629"/>
      <c r="M114" s="630"/>
      <c r="N114" s="272"/>
      <c r="O114" s="631"/>
    </row>
    <row r="115" spans="1:18" s="258" customFormat="1" ht="66.900000000000006" customHeight="1">
      <c r="A115" s="255"/>
      <c r="B115" s="182"/>
      <c r="C115" s="183"/>
      <c r="D115" s="273" t="s">
        <v>390</v>
      </c>
      <c r="E115" s="183"/>
      <c r="F115" s="278"/>
      <c r="G115" s="256"/>
      <c r="H115" s="256"/>
      <c r="I115" s="256"/>
      <c r="J115" s="100"/>
      <c r="K115" s="637"/>
      <c r="L115" s="629"/>
      <c r="M115" s="630"/>
      <c r="N115" s="272"/>
      <c r="O115" s="631"/>
    </row>
    <row r="116" spans="1:18" s="258" customFormat="1" ht="27" customHeight="1">
      <c r="A116" s="255"/>
      <c r="B116" s="182"/>
      <c r="C116" s="183"/>
      <c r="D116" s="273" t="s">
        <v>391</v>
      </c>
      <c r="E116" s="183"/>
      <c r="F116" s="278"/>
      <c r="G116" s="256"/>
      <c r="H116" s="256"/>
      <c r="I116" s="256"/>
      <c r="J116" s="100"/>
      <c r="K116" s="638"/>
      <c r="L116" s="629"/>
      <c r="M116" s="630"/>
      <c r="N116" s="272"/>
      <c r="O116" s="631"/>
    </row>
    <row r="117" spans="1:18" s="258" customFormat="1" ht="67.5" customHeight="1">
      <c r="A117" s="284"/>
      <c r="B117" s="279"/>
      <c r="C117" s="277"/>
      <c r="D117" s="108" t="s">
        <v>57</v>
      </c>
      <c r="E117" s="273"/>
      <c r="F117" s="278"/>
      <c r="G117" s="256"/>
      <c r="H117" s="256"/>
      <c r="I117" s="256"/>
      <c r="J117" s="100"/>
      <c r="L117" s="629"/>
      <c r="M117" s="630"/>
      <c r="N117" s="272"/>
      <c r="O117" s="631"/>
    </row>
    <row r="118" spans="1:18" s="258" customFormat="1" ht="13.5" customHeight="1">
      <c r="A118" s="285">
        <v>16</v>
      </c>
      <c r="B118" s="241" t="s">
        <v>380</v>
      </c>
      <c r="C118" s="241" t="s">
        <v>392</v>
      </c>
      <c r="D118" s="241" t="s">
        <v>393</v>
      </c>
      <c r="E118" s="241" t="s">
        <v>23</v>
      </c>
      <c r="F118" s="236">
        <f>SUM(F119)</f>
        <v>1</v>
      </c>
      <c r="G118" s="236">
        <v>180200</v>
      </c>
      <c r="H118" s="138">
        <f>F118*G118</f>
        <v>180200</v>
      </c>
      <c r="I118" s="99" t="s">
        <v>49</v>
      </c>
      <c r="J118" s="100"/>
      <c r="K118" s="606"/>
      <c r="L118" s="632"/>
      <c r="M118" s="632"/>
      <c r="N118" s="606"/>
      <c r="O118" s="539"/>
    </row>
    <row r="119" spans="1:18" s="243" customFormat="1" ht="13.5" customHeight="1">
      <c r="A119" s="239"/>
      <c r="B119" s="240"/>
      <c r="C119" s="241"/>
      <c r="D119" s="250" t="s">
        <v>494</v>
      </c>
      <c r="E119" s="241"/>
      <c r="F119" s="246">
        <v>1</v>
      </c>
      <c r="G119" s="242"/>
      <c r="H119" s="242"/>
      <c r="I119" s="242"/>
      <c r="J119" s="100"/>
      <c r="K119" s="258"/>
      <c r="L119" s="600"/>
      <c r="N119" s="601"/>
    </row>
    <row r="120" spans="1:18" s="258" customFormat="1" ht="13.5" customHeight="1">
      <c r="A120" s="285"/>
      <c r="B120" s="178"/>
      <c r="C120" s="178"/>
      <c r="D120" s="179" t="s">
        <v>394</v>
      </c>
      <c r="E120" s="178"/>
      <c r="F120" s="180"/>
      <c r="G120" s="180"/>
      <c r="H120" s="236"/>
      <c r="I120" s="236"/>
      <c r="J120" s="100"/>
      <c r="L120" s="632"/>
      <c r="M120" s="632"/>
      <c r="N120" s="606"/>
    </row>
    <row r="121" spans="1:18" s="258" customFormat="1" ht="27" customHeight="1">
      <c r="A121" s="285"/>
      <c r="B121" s="178"/>
      <c r="C121" s="178"/>
      <c r="D121" s="179" t="s">
        <v>395</v>
      </c>
      <c r="E121" s="178"/>
      <c r="F121" s="180"/>
      <c r="G121" s="180"/>
      <c r="H121" s="236"/>
      <c r="I121" s="236"/>
      <c r="J121" s="100"/>
      <c r="L121" s="632"/>
      <c r="M121" s="632"/>
      <c r="N121" s="606"/>
    </row>
    <row r="122" spans="1:18" s="258" customFormat="1" ht="27" customHeight="1">
      <c r="A122" s="285"/>
      <c r="B122" s="178"/>
      <c r="C122" s="178"/>
      <c r="D122" s="179" t="s">
        <v>396</v>
      </c>
      <c r="E122" s="178"/>
      <c r="F122" s="180"/>
      <c r="G122" s="180"/>
      <c r="H122" s="236"/>
      <c r="I122" s="236"/>
      <c r="J122" s="100"/>
      <c r="K122" s="606"/>
      <c r="L122" s="632"/>
      <c r="M122" s="632"/>
      <c r="N122" s="606"/>
    </row>
    <row r="123" spans="1:18" s="258" customFormat="1" ht="66.900000000000006" customHeight="1">
      <c r="A123" s="285"/>
      <c r="B123" s="177"/>
      <c r="C123" s="178"/>
      <c r="D123" s="108" t="s">
        <v>57</v>
      </c>
      <c r="E123" s="179"/>
      <c r="F123" s="246"/>
      <c r="G123" s="236"/>
      <c r="H123" s="236"/>
      <c r="I123" s="236"/>
      <c r="J123" s="100"/>
      <c r="K123" s="606"/>
      <c r="L123" s="632"/>
      <c r="M123" s="632"/>
      <c r="N123" s="606"/>
      <c r="O123" s="639"/>
    </row>
    <row r="124" spans="1:18" s="134" customFormat="1" ht="13.5" customHeight="1">
      <c r="A124" s="181">
        <v>17</v>
      </c>
      <c r="B124" s="182" t="s">
        <v>176</v>
      </c>
      <c r="C124" s="183" t="s">
        <v>177</v>
      </c>
      <c r="D124" s="183" t="s">
        <v>178</v>
      </c>
      <c r="E124" s="136" t="s">
        <v>48</v>
      </c>
      <c r="F124" s="184">
        <f>SUM(F125)</f>
        <v>1382.92</v>
      </c>
      <c r="G124" s="138">
        <v>594.6</v>
      </c>
      <c r="H124" s="138">
        <f>F124*G124</f>
        <v>822284.23200000008</v>
      </c>
      <c r="I124" s="99" t="s">
        <v>58</v>
      </c>
      <c r="J124" s="100"/>
      <c r="K124" s="640"/>
      <c r="N124" s="530"/>
      <c r="P124" s="531"/>
    </row>
    <row r="125" spans="1:18" s="134" customFormat="1" ht="13.5" customHeight="1">
      <c r="A125" s="181"/>
      <c r="B125" s="182"/>
      <c r="C125" s="183"/>
      <c r="D125" s="185" t="s">
        <v>491</v>
      </c>
      <c r="E125" s="136"/>
      <c r="F125" s="113">
        <f>((15.9*2+3.705*2+3.805*2+5.965*4)*19)+(10*4)</f>
        <v>1382.92</v>
      </c>
      <c r="G125" s="138"/>
      <c r="H125" s="138"/>
      <c r="I125" s="138"/>
      <c r="J125" s="100"/>
      <c r="K125" s="640"/>
      <c r="L125" s="186"/>
      <c r="M125" s="186"/>
      <c r="N125" s="530"/>
      <c r="O125" s="186"/>
      <c r="P125" s="187"/>
      <c r="Q125" s="186"/>
    </row>
    <row r="126" spans="1:18" s="134" customFormat="1" ht="13.5" customHeight="1">
      <c r="A126" s="181"/>
      <c r="B126" s="182"/>
      <c r="C126" s="183"/>
      <c r="D126" s="185" t="s">
        <v>80</v>
      </c>
      <c r="E126" s="136"/>
      <c r="F126" s="389"/>
      <c r="G126" s="138"/>
      <c r="H126" s="138"/>
      <c r="I126" s="138"/>
      <c r="J126" s="100"/>
      <c r="K126" s="640"/>
      <c r="N126" s="530"/>
      <c r="P126" s="531"/>
      <c r="R126" s="186"/>
    </row>
    <row r="127" spans="1:18" s="134" customFormat="1" ht="13.5" customHeight="1">
      <c r="A127" s="181"/>
      <c r="B127" s="182"/>
      <c r="C127" s="183"/>
      <c r="D127" s="185" t="s">
        <v>179</v>
      </c>
      <c r="E127" s="136"/>
      <c r="F127" s="137"/>
      <c r="G127" s="138"/>
      <c r="H127" s="138"/>
      <c r="I127" s="188"/>
      <c r="J127" s="100"/>
      <c r="K127" s="640"/>
      <c r="N127" s="530"/>
      <c r="P127" s="531"/>
      <c r="R127" s="186"/>
    </row>
    <row r="128" spans="1:18" s="134" customFormat="1" ht="13.5" customHeight="1">
      <c r="A128" s="181"/>
      <c r="B128" s="182"/>
      <c r="C128" s="183"/>
      <c r="D128" s="185" t="s">
        <v>180</v>
      </c>
      <c r="E128" s="136"/>
      <c r="F128" s="137"/>
      <c r="G128" s="138"/>
      <c r="H128" s="138"/>
      <c r="I128" s="188"/>
      <c r="J128" s="100"/>
      <c r="K128" s="640"/>
      <c r="N128" s="530"/>
      <c r="P128" s="531"/>
      <c r="R128" s="186"/>
    </row>
    <row r="129" spans="1:18" s="134" customFormat="1" ht="13.5" customHeight="1">
      <c r="A129" s="181"/>
      <c r="B129" s="182"/>
      <c r="C129" s="183"/>
      <c r="D129" s="185" t="s">
        <v>181</v>
      </c>
      <c r="E129" s="136"/>
      <c r="F129" s="137"/>
      <c r="G129" s="138"/>
      <c r="H129" s="138"/>
      <c r="I129" s="188"/>
      <c r="J129" s="100"/>
      <c r="K129" s="640"/>
      <c r="N129" s="530"/>
      <c r="P129" s="531"/>
      <c r="R129" s="186"/>
    </row>
    <row r="130" spans="1:18" s="134" customFormat="1" ht="13.5" customHeight="1">
      <c r="A130" s="181"/>
      <c r="B130" s="182"/>
      <c r="C130" s="183"/>
      <c r="D130" s="185" t="s">
        <v>182</v>
      </c>
      <c r="E130" s="136"/>
      <c r="F130" s="137"/>
      <c r="G130" s="138"/>
      <c r="H130" s="138"/>
      <c r="I130" s="188"/>
      <c r="J130" s="100"/>
      <c r="K130" s="640"/>
      <c r="N130" s="530"/>
      <c r="P130" s="531"/>
      <c r="R130" s="186"/>
    </row>
    <row r="131" spans="1:18" s="134" customFormat="1" ht="13.5" customHeight="1">
      <c r="A131" s="181"/>
      <c r="B131" s="182"/>
      <c r="C131" s="183"/>
      <c r="D131" s="185" t="s">
        <v>183</v>
      </c>
      <c r="E131" s="136"/>
      <c r="F131" s="137"/>
      <c r="G131" s="138"/>
      <c r="H131" s="138"/>
      <c r="I131" s="188"/>
      <c r="J131" s="100"/>
      <c r="K131" s="640"/>
      <c r="N131" s="530"/>
      <c r="P131" s="531"/>
      <c r="R131" s="186"/>
    </row>
    <row r="132" spans="1:18" s="186" customFormat="1" ht="13.5" customHeight="1">
      <c r="A132" s="135"/>
      <c r="B132" s="189"/>
      <c r="C132" s="189"/>
      <c r="D132" s="185" t="s">
        <v>184</v>
      </c>
      <c r="E132" s="189"/>
      <c r="F132" s="390"/>
      <c r="G132" s="190"/>
      <c r="H132" s="138"/>
      <c r="I132" s="188"/>
      <c r="J132" s="100"/>
    </row>
    <row r="133" spans="1:18" s="100" customFormat="1" ht="13.5" customHeight="1">
      <c r="A133" s="96">
        <v>18</v>
      </c>
      <c r="B133" s="105" t="s">
        <v>176</v>
      </c>
      <c r="C133" s="97" t="s">
        <v>185</v>
      </c>
      <c r="D133" s="97" t="s">
        <v>186</v>
      </c>
      <c r="E133" s="97" t="s">
        <v>48</v>
      </c>
      <c r="F133" s="98">
        <f>F135</f>
        <v>1206.68</v>
      </c>
      <c r="G133" s="106">
        <v>86.8</v>
      </c>
      <c r="H133" s="133">
        <f>F133*G133</f>
        <v>104739.82400000001</v>
      </c>
      <c r="I133" s="99" t="s">
        <v>49</v>
      </c>
      <c r="K133" s="543"/>
      <c r="L133" s="545"/>
      <c r="M133" s="111"/>
      <c r="N133" s="544"/>
    </row>
    <row r="134" spans="1:18" s="145" customFormat="1" ht="13.5" customHeight="1">
      <c r="A134" s="140"/>
      <c r="B134" s="141"/>
      <c r="C134" s="141"/>
      <c r="D134" s="101" t="s">
        <v>187</v>
      </c>
      <c r="E134" s="141"/>
      <c r="F134" s="161"/>
      <c r="G134" s="143"/>
      <c r="H134" s="143"/>
      <c r="I134" s="159"/>
      <c r="K134" s="543"/>
      <c r="L134" s="545"/>
      <c r="M134" s="111"/>
      <c r="N134" s="544"/>
    </row>
    <row r="135" spans="1:18" s="145" customFormat="1" ht="13.5" customHeight="1">
      <c r="A135" s="140"/>
      <c r="B135" s="141"/>
      <c r="C135" s="141"/>
      <c r="D135" s="101" t="s">
        <v>525</v>
      </c>
      <c r="E135" s="141"/>
      <c r="F135" s="113">
        <f>288.89+232.31+232.4+230.08+223</f>
        <v>1206.68</v>
      </c>
      <c r="G135" s="143"/>
      <c r="H135" s="143"/>
      <c r="I135" s="159"/>
      <c r="K135" s="543"/>
      <c r="L135" s="545"/>
      <c r="M135" s="111"/>
      <c r="N135" s="544"/>
    </row>
    <row r="136" spans="1:18" s="100" customFormat="1" ht="13.5" customHeight="1">
      <c r="A136" s="96">
        <v>19</v>
      </c>
      <c r="B136" s="105" t="s">
        <v>114</v>
      </c>
      <c r="C136" s="97" t="s">
        <v>188</v>
      </c>
      <c r="D136" s="97" t="s">
        <v>189</v>
      </c>
      <c r="E136" s="97" t="s">
        <v>48</v>
      </c>
      <c r="F136" s="98">
        <f>F137</f>
        <v>1206.68</v>
      </c>
      <c r="G136" s="106">
        <v>167</v>
      </c>
      <c r="H136" s="133">
        <f>F136*G136</f>
        <v>201515.56</v>
      </c>
      <c r="I136" s="99" t="s">
        <v>49</v>
      </c>
      <c r="K136" s="543"/>
      <c r="L136" s="545"/>
      <c r="M136" s="111"/>
      <c r="N136" s="544"/>
    </row>
    <row r="137" spans="1:18" s="145" customFormat="1" ht="13.5" customHeight="1">
      <c r="A137" s="140"/>
      <c r="B137" s="141"/>
      <c r="C137" s="141"/>
      <c r="D137" s="101" t="s">
        <v>525</v>
      </c>
      <c r="E137" s="141"/>
      <c r="F137" s="113">
        <f>288.89+232.31+232.4+230.08+223</f>
        <v>1206.68</v>
      </c>
      <c r="G137" s="143"/>
      <c r="H137" s="143"/>
      <c r="I137" s="159"/>
      <c r="K137" s="543"/>
      <c r="L137" s="545"/>
      <c r="M137" s="111"/>
      <c r="N137" s="544"/>
    </row>
    <row r="138" spans="1:18" s="100" customFormat="1" ht="13.5" customHeight="1">
      <c r="A138" s="146"/>
      <c r="B138" s="147"/>
      <c r="C138" s="147" t="s">
        <v>52</v>
      </c>
      <c r="D138" s="147" t="s">
        <v>53</v>
      </c>
      <c r="E138" s="147"/>
      <c r="F138" s="191"/>
      <c r="G138" s="149"/>
      <c r="H138" s="149">
        <f>SUM(H139:H141)</f>
        <v>1300000</v>
      </c>
      <c r="I138" s="109"/>
      <c r="K138" s="544"/>
      <c r="L138" s="545"/>
      <c r="M138" s="111"/>
      <c r="N138" s="544"/>
      <c r="Q138" s="561"/>
    </row>
    <row r="139" spans="1:18" s="100" customFormat="1" ht="13.5" customHeight="1">
      <c r="A139" s="192">
        <v>20</v>
      </c>
      <c r="B139" s="105" t="s">
        <v>114</v>
      </c>
      <c r="C139" s="97" t="s">
        <v>83</v>
      </c>
      <c r="D139" s="97" t="s">
        <v>190</v>
      </c>
      <c r="E139" s="193" t="s">
        <v>23</v>
      </c>
      <c r="F139" s="194">
        <f>SUM(F140)</f>
        <v>1</v>
      </c>
      <c r="G139" s="106">
        <v>1300000</v>
      </c>
      <c r="H139" s="133">
        <f>F139*G139</f>
        <v>1300000</v>
      </c>
      <c r="I139" s="99" t="s">
        <v>58</v>
      </c>
      <c r="J139" s="562"/>
      <c r="K139" s="544"/>
      <c r="L139" s="545"/>
      <c r="M139" s="111"/>
      <c r="N139" s="544"/>
      <c r="Q139" s="561"/>
    </row>
    <row r="140" spans="1:18" s="100" customFormat="1" ht="13.5" customHeight="1">
      <c r="A140" s="192"/>
      <c r="B140" s="105"/>
      <c r="C140" s="97"/>
      <c r="D140" s="101" t="s">
        <v>191</v>
      </c>
      <c r="E140" s="193"/>
      <c r="F140" s="162">
        <v>1</v>
      </c>
      <c r="G140" s="106"/>
      <c r="H140" s="381"/>
      <c r="I140" s="99"/>
      <c r="K140" s="544"/>
      <c r="L140" s="545"/>
      <c r="M140" s="111"/>
      <c r="N140" s="544"/>
    </row>
    <row r="141" spans="1:18" s="100" customFormat="1" ht="148.5" customHeight="1">
      <c r="A141" s="192"/>
      <c r="B141" s="105"/>
      <c r="C141" s="97"/>
      <c r="D141" s="195" t="s">
        <v>378</v>
      </c>
      <c r="E141" s="193"/>
      <c r="F141" s="162"/>
      <c r="G141" s="106"/>
      <c r="H141" s="381"/>
      <c r="I141" s="99"/>
      <c r="J141" s="624"/>
      <c r="K141" s="544"/>
      <c r="L141" s="545"/>
      <c r="M141" s="111"/>
      <c r="N141" s="544"/>
    </row>
    <row r="142" spans="1:18" s="134" customFormat="1" ht="21" customHeight="1">
      <c r="A142" s="198"/>
      <c r="B142" s="199"/>
      <c r="C142" s="199" t="s">
        <v>55</v>
      </c>
      <c r="D142" s="199" t="s">
        <v>56</v>
      </c>
      <c r="E142" s="199"/>
      <c r="F142" s="200"/>
      <c r="G142" s="201"/>
      <c r="H142" s="201">
        <f>H143+H155+H172+H206+H212+H218+H224+H230+H239+H275+H294+H327+H342+H357+H383+H397+H412+H426</f>
        <v>19833452.248000003</v>
      </c>
      <c r="I142" s="202"/>
      <c r="J142" s="563"/>
      <c r="K142" s="533"/>
      <c r="N142" s="530"/>
    </row>
    <row r="143" spans="1:18" s="100" customFormat="1" ht="13.5" customHeight="1">
      <c r="A143" s="146"/>
      <c r="B143" s="147"/>
      <c r="C143" s="147" t="s">
        <v>192</v>
      </c>
      <c r="D143" s="147" t="s">
        <v>88</v>
      </c>
      <c r="E143" s="147"/>
      <c r="F143" s="148"/>
      <c r="G143" s="149"/>
      <c r="H143" s="382">
        <f>SUM(H144:H154)</f>
        <v>199090</v>
      </c>
      <c r="I143" s="109"/>
      <c r="J143" s="564"/>
    </row>
    <row r="144" spans="1:18" s="100" customFormat="1" ht="13.5" customHeight="1">
      <c r="A144" s="165">
        <v>21</v>
      </c>
      <c r="B144" s="97">
        <v>711</v>
      </c>
      <c r="C144" s="97" t="s">
        <v>193</v>
      </c>
      <c r="D144" s="97" t="s">
        <v>547</v>
      </c>
      <c r="E144" s="97" t="s">
        <v>48</v>
      </c>
      <c r="F144" s="98">
        <f>SUM(F145:F145)</f>
        <v>513</v>
      </c>
      <c r="G144" s="98">
        <v>370</v>
      </c>
      <c r="H144" s="133">
        <f>F144*G144</f>
        <v>189810</v>
      </c>
      <c r="I144" s="99" t="s">
        <v>49</v>
      </c>
      <c r="J144" s="565"/>
    </row>
    <row r="145" spans="1:18" s="186" customFormat="1" ht="13.5" customHeight="1">
      <c r="A145" s="135"/>
      <c r="B145" s="189"/>
      <c r="C145" s="189"/>
      <c r="D145" s="185" t="s">
        <v>195</v>
      </c>
      <c r="E145" s="189"/>
      <c r="F145" s="113">
        <f>(427.5)*1.2</f>
        <v>513</v>
      </c>
      <c r="G145" s="190"/>
      <c r="H145" s="138"/>
      <c r="I145" s="188"/>
      <c r="J145" s="532"/>
      <c r="K145" s="533"/>
      <c r="N145" s="530"/>
      <c r="R145" s="134"/>
    </row>
    <row r="146" spans="1:18" s="186" customFormat="1" ht="13.5" customHeight="1">
      <c r="A146" s="135"/>
      <c r="B146" s="189"/>
      <c r="C146" s="189"/>
      <c r="D146" s="185" t="s">
        <v>80</v>
      </c>
      <c r="E146" s="189"/>
      <c r="F146" s="187"/>
      <c r="G146" s="190"/>
      <c r="H146" s="138"/>
      <c r="I146" s="188"/>
      <c r="J146" s="532"/>
      <c r="K146" s="533"/>
      <c r="N146" s="530"/>
      <c r="R146" s="134"/>
    </row>
    <row r="147" spans="1:18" s="134" customFormat="1" ht="13.5" customHeight="1">
      <c r="A147" s="135"/>
      <c r="B147" s="136"/>
      <c r="C147" s="136"/>
      <c r="D147" s="185" t="s">
        <v>196</v>
      </c>
      <c r="E147" s="136"/>
      <c r="F147" s="184"/>
      <c r="G147" s="138"/>
      <c r="H147" s="138"/>
      <c r="I147" s="188"/>
      <c r="J147" s="566"/>
      <c r="K147" s="533"/>
      <c r="L147" s="186"/>
      <c r="N147" s="530"/>
    </row>
    <row r="148" spans="1:18" s="134" customFormat="1" ht="13.5" customHeight="1">
      <c r="A148" s="135"/>
      <c r="B148" s="136"/>
      <c r="C148" s="136"/>
      <c r="D148" s="185" t="s">
        <v>197</v>
      </c>
      <c r="E148" s="136"/>
      <c r="F148" s="184"/>
      <c r="G148" s="138"/>
      <c r="H148" s="138"/>
      <c r="I148" s="188"/>
      <c r="J148" s="567"/>
      <c r="K148" s="533"/>
      <c r="N148" s="530"/>
      <c r="O148" s="186"/>
    </row>
    <row r="149" spans="1:18" s="134" customFormat="1" ht="27" customHeight="1">
      <c r="A149" s="135"/>
      <c r="B149" s="136"/>
      <c r="C149" s="136"/>
      <c r="D149" s="185" t="s">
        <v>198</v>
      </c>
      <c r="E149" s="136"/>
      <c r="F149" s="184"/>
      <c r="G149" s="138"/>
      <c r="H149" s="138"/>
      <c r="I149" s="188"/>
      <c r="J149" s="112"/>
      <c r="K149" s="533"/>
      <c r="L149" s="186"/>
      <c r="N149" s="530"/>
    </row>
    <row r="150" spans="1:18" s="186" customFormat="1" ht="13.5" customHeight="1">
      <c r="A150" s="135"/>
      <c r="B150" s="189"/>
      <c r="C150" s="189"/>
      <c r="D150" s="185" t="s">
        <v>82</v>
      </c>
      <c r="E150" s="189"/>
      <c r="F150" s="137"/>
      <c r="G150" s="190"/>
      <c r="H150" s="138"/>
      <c r="I150" s="188"/>
      <c r="J150" s="134"/>
      <c r="K150" s="533"/>
      <c r="N150" s="530"/>
      <c r="R150" s="134"/>
    </row>
    <row r="151" spans="1:18" s="100" customFormat="1" ht="13.5" customHeight="1">
      <c r="A151" s="146"/>
      <c r="B151" s="147"/>
      <c r="C151" s="147"/>
      <c r="D151" s="185" t="s">
        <v>199</v>
      </c>
      <c r="E151" s="147"/>
      <c r="F151" s="148"/>
      <c r="G151" s="149"/>
      <c r="H151" s="382"/>
      <c r="I151" s="109"/>
    </row>
    <row r="152" spans="1:18" s="100" customFormat="1" ht="13.5" customHeight="1">
      <c r="A152" s="165">
        <v>22</v>
      </c>
      <c r="B152" s="97" t="s">
        <v>54</v>
      </c>
      <c r="C152" s="97" t="s">
        <v>200</v>
      </c>
      <c r="D152" s="97" t="s">
        <v>201</v>
      </c>
      <c r="E152" s="97" t="s">
        <v>44</v>
      </c>
      <c r="F152" s="98">
        <f>F153</f>
        <v>20</v>
      </c>
      <c r="G152" s="98">
        <v>464</v>
      </c>
      <c r="H152" s="133">
        <f>F152*G152</f>
        <v>9280</v>
      </c>
      <c r="I152" s="99" t="s">
        <v>45</v>
      </c>
      <c r="J152" s="568"/>
    </row>
    <row r="153" spans="1:18" s="111" customFormat="1" ht="13.5" customHeight="1">
      <c r="A153" s="165"/>
      <c r="B153" s="105"/>
      <c r="C153" s="97"/>
      <c r="D153" s="101" t="s">
        <v>202</v>
      </c>
      <c r="E153" s="97"/>
      <c r="F153" s="113">
        <v>20</v>
      </c>
      <c r="G153" s="98"/>
      <c r="H153" s="98"/>
      <c r="I153" s="99"/>
    </row>
    <row r="154" spans="1:18" s="111" customFormat="1" ht="27" customHeight="1">
      <c r="A154" s="165"/>
      <c r="B154" s="105"/>
      <c r="C154" s="97"/>
      <c r="D154" s="101" t="s">
        <v>203</v>
      </c>
      <c r="E154" s="97"/>
      <c r="F154" s="113"/>
      <c r="G154" s="98"/>
      <c r="H154" s="98"/>
      <c r="I154" s="99"/>
    </row>
    <row r="155" spans="1:18" s="100" customFormat="1" ht="13.5" customHeight="1">
      <c r="A155" s="146"/>
      <c r="B155" s="147"/>
      <c r="C155" s="147">
        <v>712</v>
      </c>
      <c r="D155" s="147" t="s">
        <v>89</v>
      </c>
      <c r="E155" s="147"/>
      <c r="F155" s="191"/>
      <c r="G155" s="149"/>
      <c r="H155" s="149">
        <f>SUM(H156:H171)</f>
        <v>655296</v>
      </c>
      <c r="I155" s="109"/>
      <c r="K155" s="569"/>
    </row>
    <row r="156" spans="1:18" s="78" customFormat="1" ht="13.5" customHeight="1">
      <c r="A156" s="203" t="s">
        <v>647</v>
      </c>
      <c r="B156" s="204" t="s">
        <v>204</v>
      </c>
      <c r="C156" s="73" t="s">
        <v>205</v>
      </c>
      <c r="D156" s="73" t="s">
        <v>206</v>
      </c>
      <c r="E156" s="73" t="s">
        <v>48</v>
      </c>
      <c r="F156" s="205">
        <f>SUM(F157:F157)</f>
        <v>135.07</v>
      </c>
      <c r="G156" s="206">
        <v>4800</v>
      </c>
      <c r="H156" s="133">
        <f>F156*G156</f>
        <v>648336</v>
      </c>
      <c r="I156" s="196" t="s">
        <v>49</v>
      </c>
      <c r="J156" s="570"/>
    </row>
    <row r="157" spans="1:18" s="78" customFormat="1" ht="13.5" customHeight="1">
      <c r="A157" s="203"/>
      <c r="B157" s="204"/>
      <c r="C157" s="73"/>
      <c r="D157" s="185" t="s">
        <v>497</v>
      </c>
      <c r="E157" s="185"/>
      <c r="F157" s="113">
        <f>64.8+70.27</f>
        <v>135.07</v>
      </c>
      <c r="G157" s="206"/>
      <c r="H157" s="215"/>
      <c r="I157" s="196"/>
      <c r="J157" s="570"/>
    </row>
    <row r="158" spans="1:18" s="186" customFormat="1" ht="13.5" customHeight="1">
      <c r="A158" s="135"/>
      <c r="B158" s="189"/>
      <c r="C158" s="189"/>
      <c r="D158" s="185" t="s">
        <v>80</v>
      </c>
      <c r="E158" s="189"/>
      <c r="F158" s="187"/>
      <c r="G158" s="190"/>
      <c r="H158" s="138"/>
      <c r="I158" s="196"/>
      <c r="J158" s="571"/>
      <c r="K158" s="533"/>
      <c r="N158" s="530"/>
      <c r="R158" s="134"/>
    </row>
    <row r="159" spans="1:18" s="134" customFormat="1" ht="13.5" customHeight="1">
      <c r="A159" s="135"/>
      <c r="B159" s="136"/>
      <c r="C159" s="136"/>
      <c r="D159" s="185" t="s">
        <v>500</v>
      </c>
      <c r="E159" s="136"/>
      <c r="F159" s="184"/>
      <c r="G159" s="138"/>
      <c r="H159" s="138"/>
      <c r="I159" s="188"/>
      <c r="J159" s="100"/>
      <c r="K159" s="533"/>
      <c r="L159" s="186"/>
      <c r="N159" s="530"/>
    </row>
    <row r="160" spans="1:18" s="134" customFormat="1" ht="13.5" customHeight="1">
      <c r="A160" s="135"/>
      <c r="B160" s="136"/>
      <c r="C160" s="136"/>
      <c r="D160" s="185" t="s">
        <v>207</v>
      </c>
      <c r="E160" s="136"/>
      <c r="F160" s="184"/>
      <c r="G160" s="138"/>
      <c r="H160" s="138"/>
      <c r="I160" s="188"/>
      <c r="J160" s="574"/>
      <c r="K160" s="533"/>
      <c r="L160" s="186"/>
      <c r="N160" s="530"/>
    </row>
    <row r="161" spans="1:18" s="134" customFormat="1" ht="27" customHeight="1">
      <c r="A161" s="135"/>
      <c r="B161" s="136"/>
      <c r="C161" s="136"/>
      <c r="D161" s="185" t="s">
        <v>208</v>
      </c>
      <c r="E161" s="136"/>
      <c r="F161" s="184"/>
      <c r="G161" s="138"/>
      <c r="H161" s="138"/>
      <c r="I161" s="188"/>
      <c r="J161" s="574"/>
      <c r="K161" s="533"/>
      <c r="L161" s="186"/>
      <c r="N161" s="530"/>
    </row>
    <row r="162" spans="1:18" s="134" customFormat="1" ht="13.5" customHeight="1">
      <c r="A162" s="135"/>
      <c r="B162" s="136"/>
      <c r="C162" s="136"/>
      <c r="D162" s="185" t="s">
        <v>209</v>
      </c>
      <c r="E162" s="136"/>
      <c r="F162" s="184"/>
      <c r="G162" s="138"/>
      <c r="H162" s="138"/>
      <c r="I162" s="188"/>
      <c r="J162" s="574"/>
      <c r="K162" s="533"/>
      <c r="L162" s="186"/>
      <c r="N162" s="530"/>
    </row>
    <row r="163" spans="1:18" s="134" customFormat="1" ht="13.5" customHeight="1">
      <c r="A163" s="135"/>
      <c r="B163" s="136"/>
      <c r="C163" s="136"/>
      <c r="D163" s="185" t="s">
        <v>210</v>
      </c>
      <c r="E163" s="136"/>
      <c r="F163" s="184"/>
      <c r="G163" s="138"/>
      <c r="H163" s="138"/>
      <c r="I163" s="188"/>
      <c r="J163" s="574"/>
      <c r="K163" s="533"/>
      <c r="L163" s="186"/>
      <c r="N163" s="530"/>
    </row>
    <row r="164" spans="1:18" s="134" customFormat="1" ht="13.5" customHeight="1">
      <c r="A164" s="135"/>
      <c r="B164" s="136"/>
      <c r="C164" s="136"/>
      <c r="D164" s="185" t="s">
        <v>197</v>
      </c>
      <c r="E164" s="136"/>
      <c r="F164" s="184"/>
      <c r="G164" s="138"/>
      <c r="H164" s="138"/>
      <c r="I164" s="188"/>
      <c r="K164" s="533"/>
      <c r="N164" s="530"/>
      <c r="O164" s="186"/>
    </row>
    <row r="165" spans="1:18" s="134" customFormat="1" ht="13.5" customHeight="1">
      <c r="A165" s="135"/>
      <c r="B165" s="136"/>
      <c r="C165" s="136"/>
      <c r="D165" s="185" t="s">
        <v>211</v>
      </c>
      <c r="E165" s="136"/>
      <c r="F165" s="184"/>
      <c r="G165" s="138"/>
      <c r="H165" s="138"/>
      <c r="I165" s="188"/>
      <c r="K165" s="533"/>
      <c r="N165" s="530"/>
      <c r="O165" s="186"/>
    </row>
    <row r="166" spans="1:18" s="134" customFormat="1" ht="27" customHeight="1">
      <c r="A166" s="135"/>
      <c r="B166" s="136"/>
      <c r="C166" s="136"/>
      <c r="D166" s="185" t="s">
        <v>212</v>
      </c>
      <c r="E166" s="136"/>
      <c r="F166" s="184"/>
      <c r="G166" s="138"/>
      <c r="H166" s="138"/>
      <c r="I166" s="188"/>
      <c r="J166" s="574"/>
      <c r="K166" s="533"/>
      <c r="L166" s="186"/>
      <c r="N166" s="530"/>
    </row>
    <row r="167" spans="1:18" s="186" customFormat="1" ht="13.5" customHeight="1">
      <c r="A167" s="135"/>
      <c r="B167" s="189"/>
      <c r="C167" s="189"/>
      <c r="D167" s="185" t="s">
        <v>82</v>
      </c>
      <c r="E167" s="189"/>
      <c r="F167" s="137"/>
      <c r="G167" s="190"/>
      <c r="H167" s="138"/>
      <c r="I167" s="188"/>
      <c r="J167" s="134"/>
      <c r="K167" s="533"/>
      <c r="N167" s="530"/>
      <c r="R167" s="134"/>
    </row>
    <row r="168" spans="1:18" s="78" customFormat="1" ht="13.5" customHeight="1">
      <c r="A168" s="208"/>
      <c r="B168" s="209"/>
      <c r="C168" s="209"/>
      <c r="D168" s="185" t="s">
        <v>213</v>
      </c>
      <c r="E168" s="209"/>
      <c r="F168" s="210"/>
      <c r="G168" s="211"/>
      <c r="H168" s="382"/>
      <c r="I168" s="212"/>
    </row>
    <row r="169" spans="1:18" s="216" customFormat="1" ht="13.5" customHeight="1">
      <c r="A169" s="213">
        <v>24</v>
      </c>
      <c r="B169" s="73" t="s">
        <v>54</v>
      </c>
      <c r="C169" s="73" t="s">
        <v>200</v>
      </c>
      <c r="D169" s="73" t="s">
        <v>201</v>
      </c>
      <c r="E169" s="73" t="s">
        <v>44</v>
      </c>
      <c r="F169" s="214">
        <f>F170</f>
        <v>15</v>
      </c>
      <c r="G169" s="215">
        <v>464</v>
      </c>
      <c r="H169" s="133">
        <f>F169*G169</f>
        <v>6960</v>
      </c>
      <c r="I169" s="196" t="s">
        <v>45</v>
      </c>
    </row>
    <row r="170" spans="1:18" s="78" customFormat="1" ht="13.5" customHeight="1">
      <c r="A170" s="217"/>
      <c r="B170" s="218"/>
      <c r="C170" s="218"/>
      <c r="D170" s="76" t="s">
        <v>214</v>
      </c>
      <c r="E170" s="218"/>
      <c r="F170" s="219">
        <v>15</v>
      </c>
      <c r="G170" s="220"/>
      <c r="H170" s="215"/>
      <c r="I170" s="212"/>
    </row>
    <row r="171" spans="1:18" s="78" customFormat="1" ht="13.5" customHeight="1">
      <c r="A171" s="217"/>
      <c r="B171" s="218"/>
      <c r="C171" s="218"/>
      <c r="D171" s="76" t="s">
        <v>64</v>
      </c>
      <c r="E171" s="218"/>
      <c r="F171" s="219"/>
      <c r="G171" s="220"/>
      <c r="H171" s="215"/>
      <c r="I171" s="212"/>
    </row>
    <row r="172" spans="1:18" s="100" customFormat="1" ht="13.5" customHeight="1">
      <c r="A172" s="146"/>
      <c r="B172" s="147"/>
      <c r="C172" s="147">
        <v>713</v>
      </c>
      <c r="D172" s="147" t="s">
        <v>90</v>
      </c>
      <c r="E172" s="147"/>
      <c r="F172" s="191"/>
      <c r="G172" s="149"/>
      <c r="H172" s="149">
        <f>SUM(H173:H205)</f>
        <v>3165653.398</v>
      </c>
      <c r="I172" s="109"/>
      <c r="J172" s="576"/>
    </row>
    <row r="173" spans="1:18" s="221" customFormat="1" ht="13.5" customHeight="1">
      <c r="A173" s="213">
        <v>25</v>
      </c>
      <c r="B173" s="73">
        <v>713</v>
      </c>
      <c r="C173" s="73" t="s">
        <v>215</v>
      </c>
      <c r="D173" s="73" t="s">
        <v>216</v>
      </c>
      <c r="E173" s="73" t="s">
        <v>48</v>
      </c>
      <c r="F173" s="205">
        <f>F174</f>
        <v>1321.1886000000002</v>
      </c>
      <c r="G173" s="206">
        <v>2210</v>
      </c>
      <c r="H173" s="133">
        <f>F173*G173</f>
        <v>2919826.8060000003</v>
      </c>
      <c r="I173" s="196" t="s">
        <v>49</v>
      </c>
      <c r="J173" s="100"/>
      <c r="K173" s="538"/>
      <c r="L173" s="577"/>
      <c r="M173" s="537"/>
      <c r="N173" s="539"/>
      <c r="O173" s="557"/>
      <c r="P173" s="557"/>
    </row>
    <row r="174" spans="1:18" s="221" customFormat="1" ht="13.5" customHeight="1">
      <c r="A174" s="213"/>
      <c r="B174" s="73"/>
      <c r="C174" s="73"/>
      <c r="D174" s="76" t="s">
        <v>522</v>
      </c>
      <c r="E174" s="73"/>
      <c r="F174" s="113">
        <f>((15.9*2+3.705*2+3.805*2+5.965*4)*18.145)+(10*3.87)</f>
        <v>1321.1886000000002</v>
      </c>
      <c r="G174" s="206"/>
      <c r="H174" s="215"/>
      <c r="I174" s="196"/>
      <c r="J174" s="100"/>
      <c r="K174" s="538"/>
      <c r="L174" s="577"/>
      <c r="M174" s="537"/>
      <c r="N174" s="111"/>
      <c r="O174" s="578"/>
      <c r="P174" s="92"/>
    </row>
    <row r="175" spans="1:18" s="78" customFormat="1" ht="13.5" customHeight="1">
      <c r="A175" s="217"/>
      <c r="B175" s="218"/>
      <c r="C175" s="218"/>
      <c r="D175" s="76" t="s">
        <v>80</v>
      </c>
      <c r="E175" s="218"/>
      <c r="F175" s="205"/>
      <c r="G175" s="220"/>
      <c r="H175" s="215"/>
      <c r="I175" s="196"/>
      <c r="J175" s="100"/>
      <c r="K175" s="538"/>
      <c r="L175" s="538"/>
      <c r="M175" s="537"/>
      <c r="N175" s="539"/>
      <c r="O175" s="92"/>
      <c r="P175" s="92"/>
    </row>
    <row r="176" spans="1:18" s="216" customFormat="1" ht="13.5" customHeight="1">
      <c r="A176" s="222"/>
      <c r="B176" s="204"/>
      <c r="C176" s="73"/>
      <c r="D176" s="76" t="s">
        <v>217</v>
      </c>
      <c r="E176" s="77"/>
      <c r="F176" s="77"/>
      <c r="G176" s="223"/>
      <c r="H176" s="223"/>
      <c r="I176" s="196"/>
      <c r="J176" s="100"/>
      <c r="K176" s="538"/>
      <c r="L176" s="538"/>
      <c r="M176" s="537"/>
      <c r="N176" s="111"/>
      <c r="O176" s="112"/>
      <c r="P176" s="112"/>
    </row>
    <row r="177" spans="1:18" s="216" customFormat="1" ht="13.5" customHeight="1">
      <c r="A177" s="222"/>
      <c r="B177" s="204"/>
      <c r="C177" s="73"/>
      <c r="D177" s="76" t="s">
        <v>218</v>
      </c>
      <c r="E177" s="77"/>
      <c r="F177" s="77"/>
      <c r="G177" s="223"/>
      <c r="H177" s="223"/>
      <c r="I177" s="196"/>
      <c r="J177" s="100"/>
      <c r="K177" s="538"/>
      <c r="L177" s="577"/>
      <c r="M177" s="537"/>
      <c r="N177" s="111"/>
      <c r="O177" s="112"/>
      <c r="P177" s="112"/>
    </row>
    <row r="178" spans="1:18" s="216" customFormat="1" ht="13.5" customHeight="1">
      <c r="A178" s="222"/>
      <c r="B178" s="204"/>
      <c r="C178" s="73"/>
      <c r="D178" s="76" t="s">
        <v>219</v>
      </c>
      <c r="E178" s="77"/>
      <c r="F178" s="219"/>
      <c r="G178" s="223"/>
      <c r="H178" s="223"/>
      <c r="I178" s="224"/>
      <c r="K178" s="579"/>
    </row>
    <row r="179" spans="1:18" s="216" customFormat="1" ht="13.5" customHeight="1">
      <c r="A179" s="222"/>
      <c r="B179" s="204"/>
      <c r="C179" s="73"/>
      <c r="D179" s="76" t="s">
        <v>220</v>
      </c>
      <c r="E179" s="77"/>
      <c r="F179" s="219"/>
      <c r="G179" s="223"/>
      <c r="H179" s="223"/>
      <c r="I179" s="224"/>
      <c r="K179" s="580"/>
    </row>
    <row r="180" spans="1:18" s="226" customFormat="1" ht="13.5" customHeight="1">
      <c r="A180" s="203"/>
      <c r="B180" s="225"/>
      <c r="C180" s="225"/>
      <c r="D180" s="76" t="s">
        <v>221</v>
      </c>
      <c r="E180" s="225"/>
      <c r="G180" s="227"/>
      <c r="H180" s="215"/>
      <c r="I180" s="196"/>
      <c r="J180" s="78"/>
    </row>
    <row r="181" spans="1:18" s="186" customFormat="1" ht="13.5" customHeight="1">
      <c r="A181" s="135"/>
      <c r="B181" s="189"/>
      <c r="C181" s="189"/>
      <c r="D181" s="185" t="s">
        <v>82</v>
      </c>
      <c r="E181" s="189"/>
      <c r="F181" s="137"/>
      <c r="G181" s="190"/>
      <c r="H181" s="138"/>
      <c r="I181" s="188"/>
      <c r="J181" s="134"/>
      <c r="K181" s="533"/>
      <c r="N181" s="530"/>
      <c r="R181" s="134"/>
    </row>
    <row r="182" spans="1:18" s="78" customFormat="1" ht="13.5" customHeight="1">
      <c r="A182" s="208"/>
      <c r="B182" s="209"/>
      <c r="C182" s="209"/>
      <c r="D182" s="185" t="s">
        <v>222</v>
      </c>
      <c r="E182" s="209"/>
      <c r="F182" s="210"/>
      <c r="G182" s="211"/>
      <c r="H182" s="382"/>
      <c r="I182" s="212"/>
    </row>
    <row r="183" spans="1:18" s="78" customFormat="1" ht="13.5" customHeight="1">
      <c r="A183" s="213">
        <v>26</v>
      </c>
      <c r="B183" s="73">
        <v>713</v>
      </c>
      <c r="C183" s="73" t="s">
        <v>223</v>
      </c>
      <c r="D183" s="73" t="s">
        <v>224</v>
      </c>
      <c r="E183" s="73" t="s">
        <v>48</v>
      </c>
      <c r="F183" s="205">
        <f>F184</f>
        <v>24.204000000000001</v>
      </c>
      <c r="G183" s="206">
        <v>2460</v>
      </c>
      <c r="H183" s="133">
        <f>F183*G183</f>
        <v>59541.840000000004</v>
      </c>
      <c r="I183" s="196" t="s">
        <v>49</v>
      </c>
      <c r="J183" s="581"/>
    </row>
    <row r="184" spans="1:18" s="221" customFormat="1" ht="13.5" customHeight="1">
      <c r="A184" s="213"/>
      <c r="B184" s="73"/>
      <c r="C184" s="73"/>
      <c r="D184" s="76" t="s">
        <v>523</v>
      </c>
      <c r="E184" s="73"/>
      <c r="F184" s="113">
        <f>((15.9*2+3.705*2+3.805*2+5.965*4)*0.3)+(10*0.3)</f>
        <v>24.204000000000001</v>
      </c>
      <c r="G184" s="206"/>
      <c r="H184" s="215"/>
      <c r="I184" s="196"/>
      <c r="J184" s="581"/>
    </row>
    <row r="185" spans="1:18" s="78" customFormat="1" ht="13.5" customHeight="1">
      <c r="A185" s="217"/>
      <c r="B185" s="218"/>
      <c r="C185" s="218"/>
      <c r="D185" s="76" t="s">
        <v>80</v>
      </c>
      <c r="E185" s="218"/>
      <c r="F185" s="205"/>
      <c r="G185" s="220"/>
      <c r="H185" s="215"/>
      <c r="I185" s="196"/>
      <c r="J185" s="582"/>
    </row>
    <row r="186" spans="1:18" s="216" customFormat="1" ht="13.5" customHeight="1">
      <c r="A186" s="222"/>
      <c r="B186" s="204"/>
      <c r="C186" s="73"/>
      <c r="D186" s="76" t="s">
        <v>217</v>
      </c>
      <c r="E186" s="77"/>
      <c r="F186" s="77"/>
      <c r="G186" s="223"/>
      <c r="H186" s="223"/>
      <c r="I186" s="196"/>
      <c r="J186" s="583"/>
      <c r="K186" s="579"/>
    </row>
    <row r="187" spans="1:18" s="78" customFormat="1" ht="13.5" customHeight="1">
      <c r="A187" s="222"/>
      <c r="B187" s="204"/>
      <c r="C187" s="73"/>
      <c r="D187" s="76" t="s">
        <v>225</v>
      </c>
      <c r="E187" s="77"/>
      <c r="F187" s="205"/>
      <c r="G187" s="223"/>
      <c r="H187" s="223"/>
      <c r="I187" s="196"/>
      <c r="J187" s="583"/>
    </row>
    <row r="188" spans="1:18" s="78" customFormat="1" ht="13.5" customHeight="1">
      <c r="A188" s="222"/>
      <c r="B188" s="204"/>
      <c r="C188" s="73"/>
      <c r="D188" s="76" t="s">
        <v>219</v>
      </c>
      <c r="E188" s="77"/>
      <c r="F188" s="219"/>
      <c r="G188" s="223"/>
      <c r="H188" s="223"/>
      <c r="I188" s="224"/>
      <c r="J188" s="583"/>
    </row>
    <row r="189" spans="1:18" s="78" customFormat="1" ht="13.5" customHeight="1">
      <c r="A189" s="222"/>
      <c r="B189" s="204"/>
      <c r="C189" s="73"/>
      <c r="D189" s="76" t="s">
        <v>220</v>
      </c>
      <c r="E189" s="77"/>
      <c r="F189" s="219"/>
      <c r="G189" s="223"/>
      <c r="H189" s="223"/>
      <c r="I189" s="224"/>
    </row>
    <row r="190" spans="1:18" s="78" customFormat="1" ht="13.5" customHeight="1">
      <c r="A190" s="203"/>
      <c r="B190" s="225"/>
      <c r="C190" s="225"/>
      <c r="D190" s="76" t="s">
        <v>226</v>
      </c>
      <c r="E190" s="225"/>
      <c r="F190" s="226"/>
      <c r="G190" s="227"/>
      <c r="H190" s="215"/>
      <c r="I190" s="196"/>
    </row>
    <row r="191" spans="1:18" s="78" customFormat="1" ht="13.5" customHeight="1">
      <c r="A191" s="135"/>
      <c r="B191" s="189"/>
      <c r="C191" s="189"/>
      <c r="D191" s="185" t="s">
        <v>82</v>
      </c>
      <c r="E191" s="189"/>
      <c r="F191" s="137"/>
      <c r="G191" s="190"/>
      <c r="H191" s="138"/>
      <c r="I191" s="188"/>
    </row>
    <row r="192" spans="1:18" s="78" customFormat="1" ht="13.5" customHeight="1">
      <c r="A192" s="208"/>
      <c r="B192" s="209"/>
      <c r="C192" s="209"/>
      <c r="D192" s="185" t="s">
        <v>222</v>
      </c>
      <c r="E192" s="209"/>
      <c r="F192" s="210"/>
      <c r="G192" s="211"/>
      <c r="H192" s="382"/>
      <c r="I192" s="212"/>
    </row>
    <row r="193" spans="1:11" s="78" customFormat="1" ht="13.5" customHeight="1">
      <c r="A193" s="208"/>
      <c r="B193" s="209"/>
      <c r="C193" s="209"/>
      <c r="D193" s="185" t="s">
        <v>227</v>
      </c>
      <c r="E193" s="209"/>
      <c r="F193" s="210"/>
      <c r="G193" s="211"/>
      <c r="H193" s="382"/>
      <c r="I193" s="212"/>
    </row>
    <row r="194" spans="1:11" s="78" customFormat="1" ht="13.5" customHeight="1">
      <c r="A194" s="213">
        <v>27</v>
      </c>
      <c r="B194" s="73">
        <v>713</v>
      </c>
      <c r="C194" s="73" t="s">
        <v>228</v>
      </c>
      <c r="D194" s="73" t="s">
        <v>229</v>
      </c>
      <c r="E194" s="73" t="s">
        <v>48</v>
      </c>
      <c r="F194" s="205">
        <f>F195</f>
        <v>79.066400000000002</v>
      </c>
      <c r="G194" s="206">
        <v>2180</v>
      </c>
      <c r="H194" s="133">
        <f>F194*G194</f>
        <v>172364.75200000001</v>
      </c>
      <c r="I194" s="196" t="s">
        <v>49</v>
      </c>
      <c r="J194" s="581"/>
    </row>
    <row r="195" spans="1:11" s="221" customFormat="1" ht="13.5" customHeight="1">
      <c r="A195" s="213"/>
      <c r="B195" s="73"/>
      <c r="C195" s="73"/>
      <c r="D195" s="76" t="s">
        <v>524</v>
      </c>
      <c r="E195" s="73"/>
      <c r="F195" s="113">
        <f>((15.9*2+3.705*2+3.805*2+5.965*4)*0.98)+(10*0.98)</f>
        <v>79.066400000000002</v>
      </c>
      <c r="G195" s="206"/>
      <c r="H195" s="215"/>
      <c r="I195" s="196"/>
      <c r="J195" s="581"/>
    </row>
    <row r="196" spans="1:11" s="78" customFormat="1" ht="13.5" customHeight="1">
      <c r="A196" s="217"/>
      <c r="B196" s="218"/>
      <c r="C196" s="218"/>
      <c r="D196" s="76" t="s">
        <v>80</v>
      </c>
      <c r="E196" s="218"/>
      <c r="F196" s="205"/>
      <c r="G196" s="220"/>
      <c r="H196" s="215"/>
      <c r="I196" s="196"/>
      <c r="J196" s="582"/>
    </row>
    <row r="197" spans="1:11" s="78" customFormat="1" ht="13.5" customHeight="1">
      <c r="A197" s="217"/>
      <c r="B197" s="218"/>
      <c r="C197" s="218"/>
      <c r="D197" s="76" t="s">
        <v>164</v>
      </c>
      <c r="E197" s="218"/>
      <c r="F197" s="205"/>
      <c r="G197" s="220"/>
      <c r="H197" s="215"/>
      <c r="I197" s="212"/>
      <c r="J197" s="583"/>
    </row>
    <row r="198" spans="1:11" s="78" customFormat="1" ht="13.5" customHeight="1">
      <c r="A198" s="217"/>
      <c r="B198" s="218"/>
      <c r="C198" s="218"/>
      <c r="D198" s="76" t="s">
        <v>230</v>
      </c>
      <c r="E198" s="218"/>
      <c r="F198" s="205"/>
      <c r="G198" s="220"/>
      <c r="H198" s="215"/>
      <c r="I198" s="212"/>
      <c r="J198" s="583"/>
    </row>
    <row r="199" spans="1:11" s="78" customFormat="1" ht="13.5" customHeight="1">
      <c r="A199" s="222"/>
      <c r="B199" s="204"/>
      <c r="C199" s="73"/>
      <c r="D199" s="76" t="s">
        <v>226</v>
      </c>
      <c r="E199" s="77"/>
      <c r="F199" s="205"/>
      <c r="G199" s="223"/>
      <c r="H199" s="223"/>
      <c r="I199" s="196"/>
    </row>
    <row r="200" spans="1:11" s="78" customFormat="1" ht="13.5" customHeight="1">
      <c r="A200" s="135"/>
      <c r="B200" s="189"/>
      <c r="C200" s="189"/>
      <c r="D200" s="185" t="s">
        <v>82</v>
      </c>
      <c r="E200" s="189"/>
      <c r="F200" s="137"/>
      <c r="G200" s="190"/>
      <c r="H200" s="138"/>
      <c r="I200" s="188"/>
    </row>
    <row r="201" spans="1:11" s="78" customFormat="1" ht="13.5" customHeight="1">
      <c r="A201" s="208"/>
      <c r="B201" s="209"/>
      <c r="C201" s="209"/>
      <c r="D201" s="185" t="s">
        <v>222</v>
      </c>
      <c r="E201" s="209"/>
      <c r="F201" s="210"/>
      <c r="G201" s="211"/>
      <c r="H201" s="382"/>
      <c r="I201" s="212"/>
    </row>
    <row r="202" spans="1:11" s="78" customFormat="1" ht="13.5" customHeight="1">
      <c r="A202" s="208"/>
      <c r="B202" s="209"/>
      <c r="C202" s="209"/>
      <c r="D202" s="185" t="s">
        <v>227</v>
      </c>
      <c r="E202" s="209"/>
      <c r="F202" s="210"/>
      <c r="G202" s="211"/>
      <c r="H202" s="382"/>
      <c r="I202" s="212"/>
    </row>
    <row r="203" spans="1:11" s="216" customFormat="1" ht="13.5" customHeight="1">
      <c r="A203" s="213">
        <v>28</v>
      </c>
      <c r="B203" s="73" t="s">
        <v>54</v>
      </c>
      <c r="C203" s="73" t="s">
        <v>200</v>
      </c>
      <c r="D203" s="73" t="s">
        <v>201</v>
      </c>
      <c r="E203" s="73" t="s">
        <v>44</v>
      </c>
      <c r="F203" s="214">
        <f>F204</f>
        <v>30</v>
      </c>
      <c r="G203" s="215">
        <v>464</v>
      </c>
      <c r="H203" s="133">
        <f>F203*G203</f>
        <v>13920</v>
      </c>
      <c r="I203" s="196" t="s">
        <v>45</v>
      </c>
    </row>
    <row r="204" spans="1:11" s="78" customFormat="1" ht="13.5" customHeight="1">
      <c r="A204" s="217"/>
      <c r="B204" s="218"/>
      <c r="C204" s="218"/>
      <c r="D204" s="76" t="s">
        <v>231</v>
      </c>
      <c r="E204" s="218"/>
      <c r="F204" s="219">
        <v>30</v>
      </c>
      <c r="G204" s="220"/>
      <c r="H204" s="215"/>
      <c r="I204" s="212"/>
    </row>
    <row r="205" spans="1:11" s="78" customFormat="1" ht="13.5" customHeight="1">
      <c r="A205" s="217"/>
      <c r="B205" s="218"/>
      <c r="C205" s="218"/>
      <c r="D205" s="76" t="s">
        <v>64</v>
      </c>
      <c r="E205" s="218"/>
      <c r="F205" s="219"/>
      <c r="G205" s="220"/>
      <c r="H205" s="215"/>
      <c r="I205" s="212"/>
    </row>
    <row r="206" spans="1:11" s="100" customFormat="1" ht="13.5" customHeight="1">
      <c r="A206" s="228"/>
      <c r="B206" s="147"/>
      <c r="C206" s="147">
        <v>720</v>
      </c>
      <c r="D206" s="147" t="s">
        <v>550</v>
      </c>
      <c r="E206" s="147"/>
      <c r="F206" s="191"/>
      <c r="G206" s="148"/>
      <c r="H206" s="148">
        <f>SUM(H207:H211)</f>
        <v>654000</v>
      </c>
      <c r="I206" s="148"/>
      <c r="K206" s="584"/>
    </row>
    <row r="207" spans="1:11" s="100" customFormat="1" ht="13.5" customHeight="1">
      <c r="A207" s="165">
        <v>29</v>
      </c>
      <c r="B207" s="97" t="s">
        <v>59</v>
      </c>
      <c r="C207" s="97" t="s">
        <v>650</v>
      </c>
      <c r="D207" s="97" t="s">
        <v>551</v>
      </c>
      <c r="E207" s="97" t="s">
        <v>23</v>
      </c>
      <c r="F207" s="175">
        <f>F209</f>
        <v>1</v>
      </c>
      <c r="G207" s="98">
        <v>654000</v>
      </c>
      <c r="H207" s="138">
        <f>F207*G207</f>
        <v>654000</v>
      </c>
      <c r="I207" s="196" t="s">
        <v>49</v>
      </c>
      <c r="K207" s="584"/>
    </row>
    <row r="208" spans="1:11" s="100" customFormat="1" ht="40.5" customHeight="1">
      <c r="A208" s="165"/>
      <c r="B208" s="97"/>
      <c r="C208" s="97"/>
      <c r="D208" s="101" t="s">
        <v>552</v>
      </c>
      <c r="E208" s="97"/>
      <c r="F208" s="286"/>
      <c r="G208" s="98"/>
      <c r="H208" s="98"/>
      <c r="I208" s="98"/>
      <c r="K208" s="584"/>
    </row>
    <row r="209" spans="1:12" s="100" customFormat="1" ht="13.5" customHeight="1">
      <c r="A209" s="165"/>
      <c r="B209" s="103"/>
      <c r="C209" s="103"/>
      <c r="D209" s="101" t="s">
        <v>61</v>
      </c>
      <c r="E209" s="103"/>
      <c r="F209" s="162">
        <v>1</v>
      </c>
      <c r="G209" s="104"/>
      <c r="H209" s="98"/>
      <c r="I209" s="98"/>
      <c r="K209" s="584"/>
    </row>
    <row r="210" spans="1:12" s="100" customFormat="1" ht="13.5" customHeight="1">
      <c r="A210" s="197"/>
      <c r="B210" s="103"/>
      <c r="C210" s="103"/>
      <c r="D210" s="153" t="s">
        <v>553</v>
      </c>
      <c r="E210" s="103"/>
      <c r="F210" s="162"/>
      <c r="G210" s="104"/>
      <c r="H210" s="98"/>
      <c r="I210" s="98"/>
      <c r="K210" s="585"/>
      <c r="L210" s="525"/>
    </row>
    <row r="211" spans="1:12" s="100" customFormat="1" ht="67.5" customHeight="1">
      <c r="A211" s="165"/>
      <c r="B211" s="107"/>
      <c r="C211" s="103"/>
      <c r="D211" s="108" t="s">
        <v>57</v>
      </c>
      <c r="E211" s="90"/>
      <c r="F211" s="286"/>
      <c r="G211" s="104"/>
      <c r="H211" s="98"/>
      <c r="I211" s="98"/>
      <c r="K211" s="584"/>
    </row>
    <row r="212" spans="1:12" s="100" customFormat="1" ht="13.5" customHeight="1">
      <c r="A212" s="228"/>
      <c r="B212" s="147"/>
      <c r="C212" s="147">
        <v>730</v>
      </c>
      <c r="D212" s="147" t="s">
        <v>555</v>
      </c>
      <c r="E212" s="147"/>
      <c r="F212" s="191"/>
      <c r="G212" s="148"/>
      <c r="H212" s="148">
        <f>SUM(H213:H217)</f>
        <v>1043000</v>
      </c>
      <c r="I212" s="148"/>
      <c r="K212" s="584"/>
    </row>
    <row r="213" spans="1:12" s="100" customFormat="1" ht="13.5" customHeight="1">
      <c r="A213" s="165">
        <v>30</v>
      </c>
      <c r="B213" s="97" t="s">
        <v>59</v>
      </c>
      <c r="C213" s="97" t="s">
        <v>651</v>
      </c>
      <c r="D213" s="97" t="s">
        <v>554</v>
      </c>
      <c r="E213" s="97" t="s">
        <v>23</v>
      </c>
      <c r="F213" s="175">
        <f>F215</f>
        <v>1</v>
      </c>
      <c r="G213" s="98">
        <v>1043000</v>
      </c>
      <c r="H213" s="138">
        <f>F213*G213</f>
        <v>1043000</v>
      </c>
      <c r="I213" s="196" t="s">
        <v>49</v>
      </c>
      <c r="K213" s="584"/>
    </row>
    <row r="214" spans="1:12" s="100" customFormat="1" ht="40.5" customHeight="1">
      <c r="A214" s="165"/>
      <c r="B214" s="97"/>
      <c r="C214" s="97"/>
      <c r="D214" s="101" t="s">
        <v>556</v>
      </c>
      <c r="E214" s="97"/>
      <c r="F214" s="286"/>
      <c r="G214" s="98"/>
      <c r="H214" s="98"/>
      <c r="I214" s="98"/>
      <c r="K214" s="584"/>
    </row>
    <row r="215" spans="1:12" s="100" customFormat="1" ht="13.5" customHeight="1">
      <c r="A215" s="165"/>
      <c r="B215" s="103"/>
      <c r="C215" s="103"/>
      <c r="D215" s="101" t="s">
        <v>61</v>
      </c>
      <c r="E215" s="103"/>
      <c r="F215" s="162">
        <v>1</v>
      </c>
      <c r="G215" s="104"/>
      <c r="H215" s="98"/>
      <c r="I215" s="98"/>
      <c r="K215" s="584"/>
    </row>
    <row r="216" spans="1:12" s="100" customFormat="1" ht="13.5" customHeight="1">
      <c r="A216" s="197"/>
      <c r="B216" s="103"/>
      <c r="C216" s="103"/>
      <c r="D216" s="153" t="s">
        <v>553</v>
      </c>
      <c r="E216" s="103"/>
      <c r="F216" s="162"/>
      <c r="G216" s="104"/>
      <c r="H216" s="98"/>
      <c r="I216" s="98"/>
      <c r="K216" s="585"/>
      <c r="L216" s="525"/>
    </row>
    <row r="217" spans="1:12" s="100" customFormat="1" ht="67.5" customHeight="1">
      <c r="A217" s="165"/>
      <c r="B217" s="107"/>
      <c r="C217" s="103"/>
      <c r="D217" s="108" t="s">
        <v>57</v>
      </c>
      <c r="E217" s="90"/>
      <c r="F217" s="286"/>
      <c r="G217" s="104"/>
      <c r="H217" s="98"/>
      <c r="I217" s="98"/>
      <c r="K217" s="584"/>
    </row>
    <row r="218" spans="1:12" s="100" customFormat="1" ht="13.5" customHeight="1">
      <c r="A218" s="228"/>
      <c r="B218" s="147"/>
      <c r="C218" s="147">
        <v>750</v>
      </c>
      <c r="D218" s="147" t="s">
        <v>605</v>
      </c>
      <c r="E218" s="147"/>
      <c r="F218" s="191"/>
      <c r="G218" s="148"/>
      <c r="H218" s="148">
        <f>SUM(H219:H223)</f>
        <v>1300000</v>
      </c>
      <c r="I218" s="148"/>
      <c r="K218" s="584"/>
    </row>
    <row r="219" spans="1:12" s="100" customFormat="1" ht="13.5" customHeight="1">
      <c r="A219" s="165">
        <v>31</v>
      </c>
      <c r="B219" s="97" t="s">
        <v>59</v>
      </c>
      <c r="C219" s="97" t="s">
        <v>653</v>
      </c>
      <c r="D219" s="97" t="s">
        <v>609</v>
      </c>
      <c r="E219" s="97" t="s">
        <v>23</v>
      </c>
      <c r="F219" s="175">
        <f>F221</f>
        <v>1</v>
      </c>
      <c r="G219" s="98">
        <v>1300000</v>
      </c>
      <c r="H219" s="138">
        <f>F219*G219</f>
        <v>1300000</v>
      </c>
      <c r="I219" s="196" t="s">
        <v>49</v>
      </c>
      <c r="K219" s="584"/>
    </row>
    <row r="220" spans="1:12" s="100" customFormat="1" ht="40.5" customHeight="1">
      <c r="A220" s="165"/>
      <c r="B220" s="97"/>
      <c r="C220" s="97"/>
      <c r="D220" s="101" t="s">
        <v>603</v>
      </c>
      <c r="E220" s="97"/>
      <c r="F220" s="286"/>
      <c r="G220" s="98"/>
      <c r="H220" s="98"/>
      <c r="I220" s="98"/>
      <c r="K220" s="584"/>
    </row>
    <row r="221" spans="1:12" s="100" customFormat="1" ht="13.5" customHeight="1">
      <c r="A221" s="165"/>
      <c r="B221" s="103"/>
      <c r="C221" s="103"/>
      <c r="D221" s="101" t="s">
        <v>61</v>
      </c>
      <c r="E221" s="103"/>
      <c r="F221" s="162">
        <v>1</v>
      </c>
      <c r="G221" s="104"/>
      <c r="H221" s="98"/>
      <c r="I221" s="98"/>
      <c r="K221" s="584"/>
    </row>
    <row r="222" spans="1:12" s="100" customFormat="1" ht="13.5" customHeight="1">
      <c r="A222" s="197"/>
      <c r="B222" s="103"/>
      <c r="C222" s="103"/>
      <c r="D222" s="153" t="s">
        <v>553</v>
      </c>
      <c r="E222" s="103"/>
      <c r="F222" s="162"/>
      <c r="G222" s="104"/>
      <c r="H222" s="98"/>
      <c r="I222" s="98"/>
      <c r="K222" s="585"/>
      <c r="L222" s="525"/>
    </row>
    <row r="223" spans="1:12" s="100" customFormat="1" ht="67.5" customHeight="1">
      <c r="A223" s="165"/>
      <c r="B223" s="107"/>
      <c r="C223" s="103"/>
      <c r="D223" s="108" t="s">
        <v>57</v>
      </c>
      <c r="E223" s="90"/>
      <c r="F223" s="286"/>
      <c r="G223" s="104"/>
      <c r="H223" s="98"/>
      <c r="I223" s="98"/>
      <c r="K223" s="584"/>
    </row>
    <row r="224" spans="1:12" s="100" customFormat="1" ht="13.5" customHeight="1">
      <c r="A224" s="228"/>
      <c r="B224" s="147"/>
      <c r="C224" s="147">
        <v>740</v>
      </c>
      <c r="D224" s="147" t="s">
        <v>606</v>
      </c>
      <c r="E224" s="147"/>
      <c r="F224" s="191"/>
      <c r="G224" s="148"/>
      <c r="H224" s="148">
        <f>SUM(H225:H229)</f>
        <v>400000</v>
      </c>
      <c r="I224" s="148"/>
      <c r="K224" s="584"/>
    </row>
    <row r="225" spans="1:14" s="100" customFormat="1" ht="13.5" customHeight="1">
      <c r="A225" s="165">
        <v>32</v>
      </c>
      <c r="B225" s="97" t="s">
        <v>59</v>
      </c>
      <c r="C225" s="97" t="s">
        <v>652</v>
      </c>
      <c r="D225" s="97" t="s">
        <v>610</v>
      </c>
      <c r="E225" s="97" t="s">
        <v>23</v>
      </c>
      <c r="F225" s="175">
        <f>F227</f>
        <v>1</v>
      </c>
      <c r="G225" s="98">
        <v>400000</v>
      </c>
      <c r="H225" s="138">
        <f>F225*G225</f>
        <v>400000</v>
      </c>
      <c r="I225" s="196" t="s">
        <v>49</v>
      </c>
      <c r="K225" s="584"/>
    </row>
    <row r="226" spans="1:14" s="100" customFormat="1" ht="40.5" customHeight="1">
      <c r="A226" s="165"/>
      <c r="B226" s="97"/>
      <c r="C226" s="97"/>
      <c r="D226" s="101" t="s">
        <v>608</v>
      </c>
      <c r="E226" s="97"/>
      <c r="F226" s="286"/>
      <c r="G226" s="98"/>
      <c r="H226" s="98"/>
      <c r="I226" s="98"/>
      <c r="K226" s="584"/>
    </row>
    <row r="227" spans="1:14" s="100" customFormat="1" ht="13.5" customHeight="1">
      <c r="A227" s="165"/>
      <c r="B227" s="103"/>
      <c r="C227" s="103"/>
      <c r="D227" s="101" t="s">
        <v>61</v>
      </c>
      <c r="E227" s="103"/>
      <c r="F227" s="162">
        <v>1</v>
      </c>
      <c r="G227" s="104"/>
      <c r="H227" s="98"/>
      <c r="I227" s="98"/>
      <c r="K227" s="584"/>
    </row>
    <row r="228" spans="1:14" s="100" customFormat="1" ht="13.5" customHeight="1">
      <c r="A228" s="197"/>
      <c r="B228" s="103"/>
      <c r="C228" s="103"/>
      <c r="D228" s="153" t="s">
        <v>553</v>
      </c>
      <c r="E228" s="103"/>
      <c r="F228" s="162"/>
      <c r="G228" s="104"/>
      <c r="H228" s="98"/>
      <c r="I228" s="98"/>
      <c r="K228" s="585"/>
      <c r="L228" s="525"/>
    </row>
    <row r="229" spans="1:14" s="100" customFormat="1" ht="67.5" customHeight="1">
      <c r="A229" s="165"/>
      <c r="B229" s="107"/>
      <c r="C229" s="103"/>
      <c r="D229" s="108" t="s">
        <v>57</v>
      </c>
      <c r="E229" s="90"/>
      <c r="F229" s="286"/>
      <c r="G229" s="104"/>
      <c r="H229" s="98"/>
      <c r="I229" s="98"/>
      <c r="K229" s="584"/>
    </row>
    <row r="230" spans="1:14" s="116" customFormat="1" ht="13.5" customHeight="1">
      <c r="A230" s="474"/>
      <c r="B230" s="475"/>
      <c r="C230" s="475">
        <v>762</v>
      </c>
      <c r="D230" s="475" t="s">
        <v>91</v>
      </c>
      <c r="E230" s="475"/>
      <c r="F230" s="476"/>
      <c r="G230" s="476"/>
      <c r="H230" s="476">
        <f>SUM(H231:H238)</f>
        <v>390000</v>
      </c>
      <c r="I230" s="450"/>
      <c r="J230" s="586"/>
      <c r="K230" s="587"/>
      <c r="L230" s="587"/>
      <c r="M230" s="586"/>
      <c r="N230" s="588"/>
    </row>
    <row r="231" spans="1:14" s="451" customFormat="1" ht="13.5" customHeight="1">
      <c r="A231" s="447">
        <v>33</v>
      </c>
      <c r="B231" s="448">
        <v>762</v>
      </c>
      <c r="C231" s="448" t="s">
        <v>573</v>
      </c>
      <c r="D231" s="448" t="s">
        <v>574</v>
      </c>
      <c r="E231" s="448" t="s">
        <v>23</v>
      </c>
      <c r="F231" s="449">
        <f>SUM(F232:F237)</f>
        <v>1</v>
      </c>
      <c r="G231" s="449">
        <v>390000</v>
      </c>
      <c r="H231" s="449">
        <f>F231*G231</f>
        <v>390000</v>
      </c>
      <c r="I231" s="196" t="s">
        <v>49</v>
      </c>
      <c r="J231" s="586"/>
      <c r="K231" s="587"/>
      <c r="L231" s="587"/>
      <c r="M231" s="586"/>
      <c r="N231" s="539"/>
    </row>
    <row r="232" spans="1:14" s="451" customFormat="1" ht="13.5" customHeight="1">
      <c r="A232" s="452"/>
      <c r="B232" s="453"/>
      <c r="C232" s="453"/>
      <c r="D232" s="454" t="s">
        <v>575</v>
      </c>
      <c r="E232" s="453"/>
      <c r="F232" s="455">
        <v>1</v>
      </c>
      <c r="G232" s="456"/>
      <c r="H232" s="457"/>
      <c r="I232" s="458"/>
      <c r="J232" s="586"/>
      <c r="K232" s="587"/>
      <c r="L232" s="587"/>
      <c r="M232" s="586"/>
      <c r="N232" s="588"/>
    </row>
    <row r="233" spans="1:14" s="451" customFormat="1" ht="13.5" customHeight="1">
      <c r="A233" s="452"/>
      <c r="B233" s="453"/>
      <c r="C233" s="453"/>
      <c r="D233" s="454" t="s">
        <v>80</v>
      </c>
      <c r="E233" s="453"/>
      <c r="F233" s="455"/>
      <c r="G233" s="456"/>
      <c r="H233" s="457"/>
      <c r="I233" s="458"/>
      <c r="J233" s="586"/>
      <c r="K233" s="587"/>
      <c r="L233" s="587"/>
      <c r="M233" s="586"/>
      <c r="N233" s="539"/>
    </row>
    <row r="234" spans="1:14" s="451" customFormat="1" ht="13.5" customHeight="1">
      <c r="A234" s="452"/>
      <c r="B234" s="453"/>
      <c r="C234" s="453"/>
      <c r="D234" s="454" t="s">
        <v>576</v>
      </c>
      <c r="E234" s="453"/>
      <c r="F234" s="455"/>
      <c r="G234" s="456"/>
      <c r="H234" s="457"/>
      <c r="I234" s="458"/>
      <c r="J234" s="586"/>
      <c r="K234" s="587"/>
      <c r="L234" s="587"/>
      <c r="M234" s="586"/>
      <c r="N234" s="588"/>
    </row>
    <row r="235" spans="1:14" s="451" customFormat="1" ht="13.5" customHeight="1">
      <c r="A235" s="452"/>
      <c r="B235" s="453"/>
      <c r="C235" s="453"/>
      <c r="D235" s="454" t="s">
        <v>577</v>
      </c>
      <c r="E235" s="453"/>
      <c r="F235" s="455"/>
      <c r="G235" s="456"/>
      <c r="H235" s="457"/>
      <c r="I235" s="458"/>
      <c r="J235" s="586"/>
      <c r="K235" s="587"/>
      <c r="L235" s="587"/>
      <c r="M235" s="586"/>
      <c r="N235" s="588"/>
    </row>
    <row r="236" spans="1:14" s="451" customFormat="1" ht="13.5" customHeight="1">
      <c r="A236" s="452"/>
      <c r="B236" s="453"/>
      <c r="C236" s="453"/>
      <c r="D236" s="454" t="s">
        <v>578</v>
      </c>
      <c r="E236" s="453"/>
      <c r="F236" s="455"/>
      <c r="G236" s="456"/>
      <c r="H236" s="457"/>
      <c r="I236" s="458"/>
      <c r="J236" s="586"/>
      <c r="K236" s="587"/>
      <c r="L236" s="587"/>
      <c r="M236" s="586"/>
      <c r="N236" s="588"/>
    </row>
    <row r="237" spans="1:14" s="451" customFormat="1" ht="27" customHeight="1">
      <c r="A237" s="452"/>
      <c r="B237" s="453"/>
      <c r="C237" s="453"/>
      <c r="D237" s="454" t="s">
        <v>579</v>
      </c>
      <c r="E237" s="453"/>
      <c r="F237" s="455"/>
      <c r="G237" s="456"/>
      <c r="H237" s="457"/>
      <c r="I237" s="458"/>
      <c r="J237" s="586"/>
      <c r="K237" s="587"/>
      <c r="L237" s="587"/>
      <c r="M237" s="586"/>
      <c r="N237" s="588"/>
    </row>
    <row r="238" spans="1:14" customFormat="1" ht="27" customHeight="1">
      <c r="A238" s="447"/>
      <c r="B238" s="477"/>
      <c r="C238" s="448"/>
      <c r="D238" s="454" t="s">
        <v>580</v>
      </c>
      <c r="E238" s="448"/>
      <c r="F238" s="455"/>
      <c r="G238" s="449"/>
      <c r="H238" s="449"/>
      <c r="I238" s="450"/>
      <c r="J238" s="586"/>
      <c r="K238" s="587"/>
      <c r="L238" s="587"/>
      <c r="M238" s="586"/>
      <c r="N238" s="588"/>
    </row>
    <row r="239" spans="1:14" s="100" customFormat="1" ht="13.5" customHeight="1">
      <c r="A239" s="165"/>
      <c r="B239" s="147"/>
      <c r="C239" s="147">
        <v>763</v>
      </c>
      <c r="D239" s="147" t="s">
        <v>92</v>
      </c>
      <c r="E239" s="147"/>
      <c r="F239" s="191"/>
      <c r="G239" s="229"/>
      <c r="H239" s="148">
        <f>SUM(H240:H274)</f>
        <v>1875000.4700000002</v>
      </c>
      <c r="I239" s="109"/>
    </row>
    <row r="240" spans="1:14" s="88" customFormat="1" ht="13.5" customHeight="1">
      <c r="A240" s="213">
        <v>34</v>
      </c>
      <c r="B240" s="204" t="s">
        <v>232</v>
      </c>
      <c r="C240" s="73" t="s">
        <v>233</v>
      </c>
      <c r="D240" s="73" t="s">
        <v>234</v>
      </c>
      <c r="E240" s="73" t="s">
        <v>48</v>
      </c>
      <c r="F240" s="205">
        <f>SUM(F242:F242)</f>
        <v>79.471000000000004</v>
      </c>
      <c r="G240" s="215">
        <v>2570</v>
      </c>
      <c r="H240" s="133">
        <f>F240*G240</f>
        <v>204240.47</v>
      </c>
      <c r="I240" s="196" t="s">
        <v>49</v>
      </c>
    </row>
    <row r="241" spans="1:19" s="92" customFormat="1" ht="13.5" customHeight="1">
      <c r="A241" s="168"/>
      <c r="B241" s="169"/>
      <c r="C241" s="89"/>
      <c r="D241" s="80" t="s">
        <v>235</v>
      </c>
      <c r="E241" s="89"/>
      <c r="G241" s="91"/>
      <c r="H241" s="91"/>
      <c r="I241" s="196"/>
      <c r="J241" s="589"/>
      <c r="K241" s="589"/>
      <c r="L241" s="589"/>
      <c r="O241" s="578"/>
    </row>
    <row r="242" spans="1:19" s="92" customFormat="1" ht="13.5" customHeight="1">
      <c r="A242" s="168"/>
      <c r="B242" s="169"/>
      <c r="C242" s="89"/>
      <c r="D242" s="80" t="s">
        <v>548</v>
      </c>
      <c r="E242" s="89"/>
      <c r="F242" s="207">
        <f>(22.354+20.476+1.653+0.141+8.162+23.157+3.528)</f>
        <v>79.471000000000004</v>
      </c>
      <c r="G242" s="91"/>
      <c r="H242" s="91"/>
      <c r="I242" s="196"/>
      <c r="O242" s="578"/>
    </row>
    <row r="243" spans="1:19" s="92" customFormat="1" ht="13.5" customHeight="1">
      <c r="A243" s="170"/>
      <c r="B243" s="89"/>
      <c r="C243" s="89"/>
      <c r="D243" s="80" t="s">
        <v>80</v>
      </c>
      <c r="E243" s="89"/>
      <c r="F243" s="142"/>
      <c r="G243" s="91"/>
      <c r="H243" s="91"/>
      <c r="I243" s="196"/>
    </row>
    <row r="244" spans="1:19" s="233" customFormat="1" ht="13.5" customHeight="1">
      <c r="A244" s="230"/>
      <c r="B244" s="231"/>
      <c r="C244" s="231"/>
      <c r="D244" s="231" t="s">
        <v>236</v>
      </c>
      <c r="E244" s="231"/>
      <c r="F244" s="207"/>
      <c r="G244" s="232"/>
      <c r="H244" s="232"/>
      <c r="I244" s="196"/>
      <c r="J244" s="590"/>
    </row>
    <row r="245" spans="1:19" s="233" customFormat="1" ht="13.5" customHeight="1">
      <c r="A245" s="230"/>
      <c r="B245" s="231"/>
      <c r="C245" s="231"/>
      <c r="D245" s="231" t="s">
        <v>237</v>
      </c>
      <c r="E245" s="231"/>
      <c r="F245" s="207"/>
      <c r="G245" s="232"/>
      <c r="H245" s="232"/>
      <c r="I245" s="234"/>
      <c r="J245" s="591"/>
      <c r="S245" s="592"/>
    </row>
    <row r="246" spans="1:19" s="233" customFormat="1" ht="13.5" customHeight="1">
      <c r="A246" s="230"/>
      <c r="B246" s="231"/>
      <c r="C246" s="231"/>
      <c r="D246" s="231" t="s">
        <v>238</v>
      </c>
      <c r="E246" s="231"/>
      <c r="F246" s="207"/>
      <c r="G246" s="232"/>
      <c r="H246" s="232"/>
      <c r="I246" s="234"/>
      <c r="J246" s="591"/>
      <c r="S246" s="592"/>
    </row>
    <row r="247" spans="1:19" s="233" customFormat="1" ht="13.5" customHeight="1">
      <c r="A247" s="230"/>
      <c r="B247" s="231"/>
      <c r="C247" s="231"/>
      <c r="D247" s="80" t="s">
        <v>239</v>
      </c>
      <c r="E247" s="231"/>
      <c r="F247" s="207"/>
      <c r="G247" s="232"/>
      <c r="H247" s="232"/>
      <c r="I247" s="234"/>
    </row>
    <row r="248" spans="1:19" s="233" customFormat="1" ht="13.5" customHeight="1">
      <c r="A248" s="230"/>
      <c r="B248" s="231"/>
      <c r="C248" s="231"/>
      <c r="D248" s="80" t="s">
        <v>240</v>
      </c>
      <c r="E248" s="231"/>
      <c r="F248" s="207"/>
      <c r="G248" s="232"/>
      <c r="H248" s="232"/>
      <c r="I248" s="234"/>
    </row>
    <row r="249" spans="1:19" s="233" customFormat="1" ht="13.5" customHeight="1">
      <c r="A249" s="230"/>
      <c r="B249" s="231"/>
      <c r="C249" s="231"/>
      <c r="D249" s="231" t="s">
        <v>133</v>
      </c>
      <c r="E249" s="231"/>
      <c r="F249" s="207"/>
      <c r="G249" s="232"/>
      <c r="H249" s="232"/>
      <c r="I249" s="234"/>
    </row>
    <row r="250" spans="1:19" s="233" customFormat="1" ht="13.5" customHeight="1">
      <c r="A250" s="230"/>
      <c r="B250" s="231"/>
      <c r="C250" s="231"/>
      <c r="D250" s="231" t="s">
        <v>241</v>
      </c>
      <c r="E250" s="231"/>
      <c r="F250" s="207"/>
      <c r="G250" s="232"/>
      <c r="H250" s="232"/>
      <c r="I250" s="234"/>
      <c r="J250" s="593"/>
      <c r="P250" s="594"/>
    </row>
    <row r="251" spans="1:19" s="88" customFormat="1" ht="13.5" customHeight="1">
      <c r="A251" s="213">
        <v>35</v>
      </c>
      <c r="B251" s="204" t="s">
        <v>232</v>
      </c>
      <c r="C251" s="73" t="s">
        <v>242</v>
      </c>
      <c r="D251" s="73" t="s">
        <v>243</v>
      </c>
      <c r="E251" s="73" t="s">
        <v>48</v>
      </c>
      <c r="F251" s="205">
        <f>SUM(F253:F253)</f>
        <v>0.23499999999999999</v>
      </c>
      <c r="G251" s="215">
        <v>1880</v>
      </c>
      <c r="H251" s="133">
        <f>F251*G251</f>
        <v>441.79999999999995</v>
      </c>
      <c r="I251" s="196" t="s">
        <v>49</v>
      </c>
    </row>
    <row r="252" spans="1:19" s="92" customFormat="1" ht="13.5" customHeight="1">
      <c r="A252" s="168"/>
      <c r="B252" s="169"/>
      <c r="C252" s="89"/>
      <c r="D252" s="80" t="s">
        <v>244</v>
      </c>
      <c r="E252" s="89"/>
      <c r="F252" s="207"/>
      <c r="G252" s="91"/>
      <c r="H252" s="91"/>
      <c r="I252" s="196"/>
      <c r="O252" s="578"/>
    </row>
    <row r="253" spans="1:19" s="92" customFormat="1" ht="13.5" customHeight="1">
      <c r="A253" s="168"/>
      <c r="B253" s="169"/>
      <c r="C253" s="89"/>
      <c r="D253" s="80" t="s">
        <v>548</v>
      </c>
      <c r="E253" s="89"/>
      <c r="F253" s="207">
        <f>(0.235)</f>
        <v>0.23499999999999999</v>
      </c>
      <c r="G253" s="91"/>
      <c r="H253" s="91"/>
      <c r="I253" s="196"/>
      <c r="J253" s="595"/>
      <c r="O253" s="578"/>
    </row>
    <row r="254" spans="1:19" s="92" customFormat="1" ht="13.5" customHeight="1">
      <c r="A254" s="170"/>
      <c r="B254" s="89"/>
      <c r="C254" s="89"/>
      <c r="D254" s="80" t="s">
        <v>80</v>
      </c>
      <c r="E254" s="89"/>
      <c r="F254" s="142"/>
      <c r="G254" s="91"/>
      <c r="H254" s="91"/>
      <c r="I254" s="196"/>
    </row>
    <row r="255" spans="1:19" s="233" customFormat="1" ht="13.5" customHeight="1">
      <c r="A255" s="230"/>
      <c r="B255" s="231"/>
      <c r="C255" s="231"/>
      <c r="D255" s="231" t="s">
        <v>245</v>
      </c>
      <c r="E255" s="231"/>
      <c r="F255" s="207"/>
      <c r="G255" s="232"/>
      <c r="H255" s="232"/>
      <c r="I255" s="196"/>
      <c r="J255" s="92"/>
    </row>
    <row r="256" spans="1:19" s="233" customFormat="1" ht="13.5" customHeight="1">
      <c r="A256" s="230"/>
      <c r="B256" s="231"/>
      <c r="C256" s="231"/>
      <c r="D256" s="231" t="s">
        <v>237</v>
      </c>
      <c r="E256" s="231"/>
      <c r="F256" s="207"/>
      <c r="G256" s="232"/>
      <c r="H256" s="232"/>
      <c r="I256" s="234"/>
      <c r="J256" s="591"/>
      <c r="S256" s="592"/>
    </row>
    <row r="257" spans="1:19" s="233" customFormat="1" ht="13.5" customHeight="1">
      <c r="A257" s="230"/>
      <c r="B257" s="231"/>
      <c r="C257" s="231"/>
      <c r="D257" s="231" t="s">
        <v>238</v>
      </c>
      <c r="E257" s="231"/>
      <c r="F257" s="207"/>
      <c r="G257" s="232"/>
      <c r="H257" s="232"/>
      <c r="I257" s="234"/>
      <c r="J257" s="591"/>
      <c r="S257" s="592"/>
    </row>
    <row r="258" spans="1:19" s="233" customFormat="1" ht="13.5" customHeight="1">
      <c r="A258" s="230"/>
      <c r="B258" s="231"/>
      <c r="C258" s="231"/>
      <c r="D258" s="80" t="s">
        <v>246</v>
      </c>
      <c r="E258" s="231"/>
      <c r="F258" s="207"/>
      <c r="G258" s="232"/>
      <c r="H258" s="232"/>
      <c r="I258" s="234"/>
      <c r="J258" s="591"/>
    </row>
    <row r="259" spans="1:19" s="233" customFormat="1" ht="13.5" customHeight="1">
      <c r="A259" s="230"/>
      <c r="B259" s="231"/>
      <c r="C259" s="231"/>
      <c r="D259" s="80" t="s">
        <v>240</v>
      </c>
      <c r="E259" s="231"/>
      <c r="F259" s="207"/>
      <c r="G259" s="232"/>
      <c r="H259" s="232"/>
      <c r="I259" s="234"/>
    </row>
    <row r="260" spans="1:19" s="233" customFormat="1" ht="13.5" customHeight="1">
      <c r="A260" s="230"/>
      <c r="B260" s="231"/>
      <c r="C260" s="231"/>
      <c r="D260" s="231" t="s">
        <v>133</v>
      </c>
      <c r="E260" s="231"/>
      <c r="F260" s="207"/>
      <c r="G260" s="232"/>
      <c r="H260" s="232"/>
      <c r="I260" s="234"/>
    </row>
    <row r="261" spans="1:19" s="233" customFormat="1" ht="13.5" customHeight="1">
      <c r="A261" s="230"/>
      <c r="B261" s="231"/>
      <c r="C261" s="231"/>
      <c r="D261" s="231" t="s">
        <v>247</v>
      </c>
      <c r="E261" s="231"/>
      <c r="F261" s="207"/>
      <c r="G261" s="232"/>
      <c r="H261" s="232"/>
      <c r="I261" s="234"/>
      <c r="J261" s="593"/>
      <c r="P261" s="594"/>
    </row>
    <row r="262" spans="1:19" s="88" customFormat="1" ht="13.5" customHeight="1">
      <c r="A262" s="213">
        <v>36</v>
      </c>
      <c r="B262" s="204" t="s">
        <v>232</v>
      </c>
      <c r="C262" s="73" t="s">
        <v>248</v>
      </c>
      <c r="D262" s="73" t="s">
        <v>249</v>
      </c>
      <c r="E262" s="73" t="s">
        <v>48</v>
      </c>
      <c r="F262" s="205">
        <f>SUM(F264:F264)</f>
        <v>1206.68</v>
      </c>
      <c r="G262" s="215">
        <v>1365</v>
      </c>
      <c r="H262" s="133">
        <f>F262*G262</f>
        <v>1647118.2000000002</v>
      </c>
      <c r="I262" s="196" t="s">
        <v>49</v>
      </c>
      <c r="J262" s="596"/>
      <c r="K262" s="596"/>
    </row>
    <row r="263" spans="1:19" s="92" customFormat="1" ht="13.5" customHeight="1">
      <c r="A263" s="168"/>
      <c r="B263" s="169"/>
      <c r="C263" s="89"/>
      <c r="D263" s="80" t="s">
        <v>250</v>
      </c>
      <c r="E263" s="89"/>
      <c r="G263" s="91"/>
      <c r="H263" s="91"/>
      <c r="I263" s="196"/>
      <c r="J263" s="578"/>
      <c r="K263" s="578"/>
      <c r="O263" s="578"/>
    </row>
    <row r="264" spans="1:19" s="92" customFormat="1" ht="13.5" customHeight="1">
      <c r="A264" s="168"/>
      <c r="B264" s="169"/>
      <c r="C264" s="89"/>
      <c r="D264" s="80" t="s">
        <v>549</v>
      </c>
      <c r="E264" s="89"/>
      <c r="F264" s="207">
        <f>288.89+232.31+232.4+230.08+223</f>
        <v>1206.68</v>
      </c>
      <c r="G264" s="91"/>
      <c r="H264" s="91"/>
      <c r="I264" s="196"/>
      <c r="J264" s="578"/>
      <c r="K264" s="578"/>
      <c r="O264" s="578"/>
    </row>
    <row r="265" spans="1:19" s="92" customFormat="1" ht="13.5" customHeight="1">
      <c r="A265" s="170"/>
      <c r="B265" s="89"/>
      <c r="C265" s="89"/>
      <c r="D265" s="80" t="s">
        <v>80</v>
      </c>
      <c r="E265" s="89"/>
      <c r="F265" s="142"/>
      <c r="G265" s="91"/>
      <c r="H265" s="91"/>
      <c r="I265" s="196"/>
      <c r="J265" s="578"/>
      <c r="K265" s="578"/>
    </row>
    <row r="266" spans="1:19" s="233" customFormat="1" ht="13.5" customHeight="1">
      <c r="A266" s="230"/>
      <c r="B266" s="231"/>
      <c r="C266" s="231"/>
      <c r="D266" s="231" t="s">
        <v>251</v>
      </c>
      <c r="E266" s="231"/>
      <c r="F266" s="207"/>
      <c r="G266" s="232"/>
      <c r="H266" s="232"/>
      <c r="I266" s="215"/>
      <c r="J266" s="92"/>
      <c r="K266" s="92"/>
      <c r="N266" s="92"/>
    </row>
    <row r="267" spans="1:19" s="233" customFormat="1" ht="13.5" customHeight="1">
      <c r="A267" s="230"/>
      <c r="B267" s="231"/>
      <c r="C267" s="231"/>
      <c r="D267" s="231" t="s">
        <v>238</v>
      </c>
      <c r="E267" s="231"/>
      <c r="F267" s="207"/>
      <c r="G267" s="232"/>
      <c r="H267" s="232"/>
      <c r="I267" s="234"/>
      <c r="J267" s="92"/>
      <c r="S267" s="592"/>
    </row>
    <row r="268" spans="1:19" s="233" customFormat="1" ht="13.5" customHeight="1">
      <c r="A268" s="230"/>
      <c r="B268" s="231"/>
      <c r="C268" s="231"/>
      <c r="D268" s="80" t="s">
        <v>252</v>
      </c>
      <c r="E268" s="231"/>
      <c r="F268" s="207"/>
      <c r="G268" s="232"/>
      <c r="H268" s="232"/>
      <c r="I268" s="234"/>
    </row>
    <row r="269" spans="1:19" s="233" customFormat="1" ht="13.5" customHeight="1">
      <c r="A269" s="230"/>
      <c r="B269" s="231"/>
      <c r="C269" s="231"/>
      <c r="D269" s="80" t="s">
        <v>253</v>
      </c>
      <c r="E269" s="231"/>
      <c r="F269" s="207"/>
      <c r="G269" s="232"/>
      <c r="H269" s="232"/>
      <c r="I269" s="234"/>
      <c r="J269" s="597"/>
    </row>
    <row r="270" spans="1:19" s="233" customFormat="1" ht="13.5" customHeight="1">
      <c r="A270" s="230"/>
      <c r="B270" s="231"/>
      <c r="C270" s="231"/>
      <c r="D270" s="231" t="s">
        <v>133</v>
      </c>
      <c r="E270" s="231"/>
      <c r="F270" s="207"/>
      <c r="G270" s="232"/>
      <c r="H270" s="232"/>
      <c r="I270" s="234"/>
    </row>
    <row r="271" spans="1:19" s="233" customFormat="1" ht="13.5" customHeight="1">
      <c r="A271" s="230"/>
      <c r="B271" s="231"/>
      <c r="C271" s="231"/>
      <c r="D271" s="231" t="s">
        <v>254</v>
      </c>
      <c r="E271" s="231"/>
      <c r="F271" s="207"/>
      <c r="G271" s="232"/>
      <c r="H271" s="232"/>
      <c r="I271" s="234"/>
      <c r="J271" s="593"/>
      <c r="P271" s="594"/>
    </row>
    <row r="272" spans="1:19" s="216" customFormat="1" ht="13.5" customHeight="1">
      <c r="A272" s="235">
        <v>37</v>
      </c>
      <c r="B272" s="73" t="s">
        <v>54</v>
      </c>
      <c r="C272" s="73" t="s">
        <v>255</v>
      </c>
      <c r="D272" s="73" t="s">
        <v>256</v>
      </c>
      <c r="E272" s="73" t="s">
        <v>44</v>
      </c>
      <c r="F272" s="236">
        <f>SUM(F273:F273)</f>
        <v>50</v>
      </c>
      <c r="G272" s="215">
        <v>464</v>
      </c>
      <c r="H272" s="133">
        <f>F272*G272</f>
        <v>23200</v>
      </c>
      <c r="I272" s="196" t="s">
        <v>45</v>
      </c>
    </row>
    <row r="273" spans="1:19" s="78" customFormat="1" ht="13.5" customHeight="1">
      <c r="A273" s="237"/>
      <c r="B273" s="218"/>
      <c r="C273" s="218"/>
      <c r="D273" s="76" t="s">
        <v>257</v>
      </c>
      <c r="E273" s="218"/>
      <c r="F273" s="219">
        <v>50</v>
      </c>
      <c r="G273" s="238"/>
      <c r="H273" s="205"/>
      <c r="I273" s="212"/>
    </row>
    <row r="274" spans="1:19" s="78" customFormat="1" ht="13.5" customHeight="1">
      <c r="A274" s="237"/>
      <c r="B274" s="218"/>
      <c r="C274" s="218"/>
      <c r="D274" s="76" t="s">
        <v>64</v>
      </c>
      <c r="E274" s="218"/>
      <c r="F274" s="219"/>
      <c r="G274" s="238"/>
      <c r="H274" s="205"/>
      <c r="I274" s="212"/>
    </row>
    <row r="275" spans="1:19" s="100" customFormat="1" ht="13.5" customHeight="1">
      <c r="A275" s="146"/>
      <c r="B275" s="147"/>
      <c r="C275" s="147">
        <v>764</v>
      </c>
      <c r="D275" s="147" t="s">
        <v>93</v>
      </c>
      <c r="E275" s="147"/>
      <c r="F275" s="148"/>
      <c r="G275" s="149"/>
      <c r="H275" s="149">
        <f>SUM(H276:H293)</f>
        <v>268580</v>
      </c>
      <c r="I275" s="163"/>
      <c r="J275" s="598"/>
      <c r="L275" s="599"/>
    </row>
    <row r="276" spans="1:19" s="243" customFormat="1" ht="13.5" customHeight="1">
      <c r="A276" s="239">
        <v>38</v>
      </c>
      <c r="B276" s="240" t="s">
        <v>258</v>
      </c>
      <c r="C276" s="241" t="s">
        <v>259</v>
      </c>
      <c r="D276" s="241" t="s">
        <v>502</v>
      </c>
      <c r="E276" s="241" t="s">
        <v>23</v>
      </c>
      <c r="F276" s="236">
        <f>SUM(F277:F277)</f>
        <v>1</v>
      </c>
      <c r="G276" s="242">
        <v>160000</v>
      </c>
      <c r="H276" s="133">
        <f>F276*G276</f>
        <v>160000</v>
      </c>
      <c r="I276" s="99" t="s">
        <v>49</v>
      </c>
      <c r="J276" s="600"/>
      <c r="L276" s="601"/>
      <c r="M276" s="602"/>
    </row>
    <row r="277" spans="1:19" s="243" customFormat="1" ht="13.5" customHeight="1">
      <c r="A277" s="244"/>
      <c r="B277" s="245"/>
      <c r="C277" s="245"/>
      <c r="D277" s="179" t="s">
        <v>260</v>
      </c>
      <c r="E277" s="178"/>
      <c r="F277" s="246">
        <v>1</v>
      </c>
      <c r="G277" s="247"/>
      <c r="H277" s="247"/>
      <c r="I277" s="248"/>
      <c r="J277" s="249"/>
      <c r="L277" s="603"/>
      <c r="N277" s="604"/>
      <c r="R277" s="602"/>
    </row>
    <row r="278" spans="1:19" s="92" customFormat="1" ht="13.5" customHeight="1">
      <c r="A278" s="170"/>
      <c r="B278" s="89"/>
      <c r="C278" s="89"/>
      <c r="D278" s="80" t="s">
        <v>80</v>
      </c>
      <c r="E278" s="89"/>
      <c r="F278" s="142"/>
      <c r="G278" s="91"/>
      <c r="H278" s="91"/>
      <c r="I278" s="176"/>
    </row>
    <row r="279" spans="1:19" s="92" customFormat="1" ht="27" customHeight="1">
      <c r="A279" s="170"/>
      <c r="B279" s="89"/>
      <c r="C279" s="89"/>
      <c r="D279" s="158" t="s">
        <v>261</v>
      </c>
      <c r="E279" s="89"/>
      <c r="F279" s="142"/>
      <c r="G279" s="91"/>
      <c r="H279" s="91"/>
      <c r="I279" s="176"/>
    </row>
    <row r="280" spans="1:19" s="92" customFormat="1" ht="13.5" customHeight="1">
      <c r="A280" s="170"/>
      <c r="B280" s="89"/>
      <c r="C280" s="89"/>
      <c r="D280" s="158" t="s">
        <v>262</v>
      </c>
      <c r="E280" s="89"/>
      <c r="F280" s="142"/>
      <c r="G280" s="91"/>
      <c r="H280" s="91"/>
      <c r="I280" s="176"/>
    </row>
    <row r="281" spans="1:19" s="92" customFormat="1" ht="13.5" customHeight="1">
      <c r="A281" s="170"/>
      <c r="B281" s="89"/>
      <c r="C281" s="89"/>
      <c r="D281" s="158" t="s">
        <v>263</v>
      </c>
      <c r="E281" s="89"/>
      <c r="F281" s="142"/>
      <c r="G281" s="91"/>
      <c r="H281" s="91"/>
      <c r="I281" s="176"/>
    </row>
    <row r="282" spans="1:19" s="92" customFormat="1" ht="13.5" customHeight="1">
      <c r="A282" s="170"/>
      <c r="B282" s="89"/>
      <c r="C282" s="89"/>
      <c r="D282" s="158" t="s">
        <v>264</v>
      </c>
      <c r="E282" s="89"/>
      <c r="F282" s="142"/>
      <c r="G282" s="91"/>
      <c r="H282" s="91"/>
      <c r="I282" s="176"/>
    </row>
    <row r="283" spans="1:19" s="112" customFormat="1" ht="13.5" customHeight="1">
      <c r="A283" s="171"/>
      <c r="B283" s="158"/>
      <c r="C283" s="158"/>
      <c r="D283" s="158" t="s">
        <v>265</v>
      </c>
      <c r="E283" s="158"/>
      <c r="F283" s="113"/>
      <c r="G283" s="172"/>
      <c r="H283" s="172"/>
      <c r="I283" s="173"/>
      <c r="J283" s="567"/>
      <c r="S283" s="605"/>
    </row>
    <row r="284" spans="1:19" s="112" customFormat="1" ht="13.5" customHeight="1">
      <c r="A284" s="171"/>
      <c r="B284" s="158"/>
      <c r="C284" s="158"/>
      <c r="D284" s="158" t="s">
        <v>266</v>
      </c>
      <c r="E284" s="158"/>
      <c r="F284" s="113"/>
      <c r="G284" s="172"/>
      <c r="H284" s="172"/>
      <c r="I284" s="173"/>
      <c r="J284" s="567"/>
      <c r="S284" s="605"/>
    </row>
    <row r="285" spans="1:19" s="112" customFormat="1" ht="13.5" customHeight="1">
      <c r="A285" s="171"/>
      <c r="B285" s="158"/>
      <c r="C285" s="158"/>
      <c r="D285" s="80" t="s">
        <v>267</v>
      </c>
      <c r="E285" s="158"/>
      <c r="F285" s="113"/>
      <c r="G285" s="172"/>
      <c r="H285" s="172"/>
      <c r="I285" s="173"/>
    </row>
    <row r="286" spans="1:19" s="112" customFormat="1" ht="13.5" customHeight="1">
      <c r="A286" s="171"/>
      <c r="B286" s="158"/>
      <c r="C286" s="158"/>
      <c r="D286" s="158" t="s">
        <v>133</v>
      </c>
      <c r="E286" s="158"/>
      <c r="F286" s="113"/>
      <c r="G286" s="172"/>
      <c r="H286" s="172"/>
      <c r="I286" s="173"/>
    </row>
    <row r="287" spans="1:19" s="100" customFormat="1" ht="13.5" customHeight="1">
      <c r="A287" s="423">
        <v>39</v>
      </c>
      <c r="B287" s="424" t="s">
        <v>258</v>
      </c>
      <c r="C287" s="425" t="s">
        <v>657</v>
      </c>
      <c r="D287" s="426" t="s">
        <v>543</v>
      </c>
      <c r="E287" s="426" t="s">
        <v>23</v>
      </c>
      <c r="F287" s="427">
        <f>SUM(F288:F289)</f>
        <v>1</v>
      </c>
      <c r="G287" s="242">
        <v>100000</v>
      </c>
      <c r="H287" s="133">
        <f>F287*G287</f>
        <v>100000</v>
      </c>
      <c r="I287" s="99" t="s">
        <v>49</v>
      </c>
      <c r="J287" s="641"/>
      <c r="K287" s="606"/>
    </row>
    <row r="288" spans="1:19" s="100" customFormat="1" ht="40.5" customHeight="1">
      <c r="A288" s="423"/>
      <c r="B288" s="424"/>
      <c r="C288" s="426"/>
      <c r="D288" s="428" t="s">
        <v>544</v>
      </c>
      <c r="E288" s="426"/>
      <c r="F288" s="429">
        <v>1</v>
      </c>
      <c r="G288" s="430"/>
      <c r="H288" s="430"/>
      <c r="I288" s="430"/>
      <c r="J288" s="642"/>
      <c r="K288" s="606"/>
    </row>
    <row r="289" spans="1:19" s="100" customFormat="1" ht="13.5" customHeight="1">
      <c r="A289" s="423"/>
      <c r="B289" s="424"/>
      <c r="C289" s="426"/>
      <c r="D289" s="428" t="s">
        <v>545</v>
      </c>
      <c r="E289" s="426"/>
      <c r="F289" s="429"/>
      <c r="G289" s="430"/>
      <c r="H289" s="430"/>
      <c r="I289" s="430"/>
      <c r="J289" s="642"/>
      <c r="K289" s="643"/>
    </row>
    <row r="290" spans="1:19" s="92" customFormat="1" ht="67.5" customHeight="1">
      <c r="A290" s="431"/>
      <c r="B290" s="432"/>
      <c r="C290" s="432"/>
      <c r="D290" s="412" t="s">
        <v>57</v>
      </c>
      <c r="E290" s="432"/>
      <c r="F290" s="433"/>
      <c r="G290" s="434"/>
      <c r="H290" s="434"/>
      <c r="I290" s="434"/>
      <c r="J290" s="644"/>
    </row>
    <row r="291" spans="1:19" s="100" customFormat="1" ht="13.5" customHeight="1">
      <c r="A291" s="96">
        <v>40</v>
      </c>
      <c r="B291" s="97" t="s">
        <v>54</v>
      </c>
      <c r="C291" s="97" t="s">
        <v>268</v>
      </c>
      <c r="D291" s="97" t="s">
        <v>269</v>
      </c>
      <c r="E291" s="97" t="s">
        <v>44</v>
      </c>
      <c r="F291" s="236">
        <f>SUM(F292:F292)</f>
        <v>20</v>
      </c>
      <c r="G291" s="106">
        <v>429</v>
      </c>
      <c r="H291" s="133">
        <f>F291*G291</f>
        <v>8580</v>
      </c>
      <c r="I291" s="99" t="s">
        <v>45</v>
      </c>
    </row>
    <row r="292" spans="1:19" s="100" customFormat="1" ht="13.5" customHeight="1">
      <c r="A292" s="102"/>
      <c r="B292" s="103"/>
      <c r="C292" s="103"/>
      <c r="D292" s="101" t="s">
        <v>270</v>
      </c>
      <c r="E292" s="103"/>
      <c r="F292" s="113">
        <v>20</v>
      </c>
      <c r="G292" s="110"/>
      <c r="H292" s="106"/>
      <c r="I292" s="109"/>
    </row>
    <row r="293" spans="1:19" s="100" customFormat="1" ht="13.5" customHeight="1">
      <c r="A293" s="102"/>
      <c r="B293" s="103"/>
      <c r="C293" s="103"/>
      <c r="D293" s="101" t="s">
        <v>64</v>
      </c>
      <c r="E293" s="103"/>
      <c r="F293" s="113"/>
      <c r="G293" s="110"/>
      <c r="H293" s="106"/>
      <c r="I293" s="109"/>
    </row>
    <row r="294" spans="1:19" s="100" customFormat="1" ht="13.5" customHeight="1">
      <c r="A294" s="146"/>
      <c r="B294" s="147"/>
      <c r="C294" s="147">
        <v>766</v>
      </c>
      <c r="D294" s="147" t="s">
        <v>95</v>
      </c>
      <c r="E294" s="147"/>
      <c r="F294" s="148"/>
      <c r="G294" s="149"/>
      <c r="H294" s="149">
        <f>SUM(H295:H326)</f>
        <v>4262580</v>
      </c>
      <c r="I294" s="163"/>
      <c r="J294" s="598"/>
      <c r="L294" s="599"/>
    </row>
    <row r="295" spans="1:19" s="243" customFormat="1" ht="13.5" customHeight="1">
      <c r="A295" s="239">
        <v>41</v>
      </c>
      <c r="B295" s="240">
        <v>766</v>
      </c>
      <c r="C295" s="241" t="s">
        <v>277</v>
      </c>
      <c r="D295" s="241" t="s">
        <v>278</v>
      </c>
      <c r="E295" s="241" t="s">
        <v>23</v>
      </c>
      <c r="F295" s="236">
        <f>SUM(F297:F297)</f>
        <v>1</v>
      </c>
      <c r="G295" s="242">
        <v>2352000</v>
      </c>
      <c r="H295" s="133">
        <f>F295*G295</f>
        <v>2352000</v>
      </c>
      <c r="I295" s="196" t="s">
        <v>49</v>
      </c>
      <c r="J295" s="100"/>
      <c r="K295" s="606"/>
      <c r="L295" s="601"/>
      <c r="M295" s="602"/>
    </row>
    <row r="296" spans="1:19" s="243" customFormat="1" ht="13.5" customHeight="1">
      <c r="A296" s="239"/>
      <c r="B296" s="240"/>
      <c r="C296" s="241"/>
      <c r="D296" s="250" t="s">
        <v>279</v>
      </c>
      <c r="E296" s="241"/>
      <c r="F296" s="246"/>
      <c r="G296" s="242"/>
      <c r="H296" s="242"/>
      <c r="I296" s="196"/>
      <c r="J296" s="100"/>
      <c r="K296" s="607"/>
      <c r="L296" s="601"/>
    </row>
    <row r="297" spans="1:19" s="243" customFormat="1" ht="13.5" customHeight="1">
      <c r="A297" s="239"/>
      <c r="B297" s="240"/>
      <c r="C297" s="241"/>
      <c r="D297" s="250" t="s">
        <v>557</v>
      </c>
      <c r="E297" s="241"/>
      <c r="F297" s="246">
        <v>1</v>
      </c>
      <c r="G297" s="242"/>
      <c r="H297" s="242"/>
      <c r="I297" s="196"/>
      <c r="J297" s="100"/>
      <c r="K297" s="607"/>
      <c r="L297" s="601"/>
    </row>
    <row r="298" spans="1:19" s="92" customFormat="1" ht="13.5" customHeight="1">
      <c r="A298" s="170"/>
      <c r="B298" s="89"/>
      <c r="C298" s="89"/>
      <c r="D298" s="80" t="s">
        <v>80</v>
      </c>
      <c r="E298" s="89"/>
      <c r="F298" s="142"/>
      <c r="G298" s="91"/>
      <c r="H298" s="91"/>
      <c r="I298" s="176"/>
      <c r="J298" s="100"/>
      <c r="K298" s="258"/>
    </row>
    <row r="299" spans="1:19" s="233" customFormat="1" ht="13.5" customHeight="1">
      <c r="A299" s="230"/>
      <c r="B299" s="231"/>
      <c r="C299" s="231"/>
      <c r="D299" s="231" t="s">
        <v>280</v>
      </c>
      <c r="E299" s="231"/>
      <c r="F299" s="207"/>
      <c r="G299" s="232"/>
      <c r="H299" s="232"/>
      <c r="I299" s="234"/>
      <c r="J299" s="100"/>
      <c r="K299" s="258"/>
    </row>
    <row r="300" spans="1:19" s="233" customFormat="1" ht="27" customHeight="1">
      <c r="A300" s="230"/>
      <c r="B300" s="231"/>
      <c r="C300" s="231"/>
      <c r="D300" s="231" t="s">
        <v>281</v>
      </c>
      <c r="E300" s="231"/>
      <c r="F300" s="207"/>
      <c r="G300" s="232"/>
      <c r="H300" s="232"/>
      <c r="I300" s="234"/>
      <c r="J300" s="591"/>
      <c r="S300" s="592"/>
    </row>
    <row r="301" spans="1:19" s="233" customFormat="1" ht="13.5" customHeight="1">
      <c r="A301" s="230"/>
      <c r="B301" s="231"/>
      <c r="C301" s="231"/>
      <c r="D301" s="231" t="s">
        <v>133</v>
      </c>
      <c r="E301" s="231"/>
      <c r="F301" s="207"/>
      <c r="G301" s="232"/>
      <c r="H301" s="232"/>
      <c r="I301" s="234"/>
    </row>
    <row r="302" spans="1:19" s="243" customFormat="1" ht="13.5" customHeight="1">
      <c r="A302" s="239">
        <v>42</v>
      </c>
      <c r="B302" s="240">
        <v>766</v>
      </c>
      <c r="C302" s="241" t="s">
        <v>282</v>
      </c>
      <c r="D302" s="241" t="s">
        <v>558</v>
      </c>
      <c r="E302" s="241" t="s">
        <v>23</v>
      </c>
      <c r="F302" s="236">
        <f>SUM(F303:F303)</f>
        <v>1</v>
      </c>
      <c r="G302" s="242">
        <v>1266300</v>
      </c>
      <c r="H302" s="133">
        <f>F302*G302</f>
        <v>1266300</v>
      </c>
      <c r="I302" s="196" t="s">
        <v>49</v>
      </c>
      <c r="J302" s="100"/>
      <c r="K302" s="608"/>
      <c r="L302" s="601"/>
      <c r="M302" s="602"/>
    </row>
    <row r="303" spans="1:19" s="243" customFormat="1" ht="13.5" customHeight="1">
      <c r="A303" s="239"/>
      <c r="B303" s="240"/>
      <c r="C303" s="241"/>
      <c r="D303" s="250" t="s">
        <v>283</v>
      </c>
      <c r="E303" s="241"/>
      <c r="F303" s="246">
        <v>1</v>
      </c>
      <c r="G303" s="242"/>
      <c r="H303" s="242"/>
      <c r="I303" s="196"/>
      <c r="J303" s="600"/>
      <c r="L303" s="601"/>
    </row>
    <row r="304" spans="1:19" s="92" customFormat="1" ht="13.5" customHeight="1">
      <c r="A304" s="170"/>
      <c r="B304" s="89"/>
      <c r="C304" s="89"/>
      <c r="D304" s="80" t="s">
        <v>80</v>
      </c>
      <c r="E304" s="89"/>
      <c r="F304" s="142"/>
      <c r="G304" s="91"/>
      <c r="H304" s="91"/>
      <c r="I304" s="176"/>
    </row>
    <row r="305" spans="1:19" s="233" customFormat="1" ht="13.5" customHeight="1">
      <c r="A305" s="230"/>
      <c r="B305" s="231"/>
      <c r="C305" s="231"/>
      <c r="D305" s="231" t="s">
        <v>284</v>
      </c>
      <c r="E305" s="231"/>
      <c r="F305" s="207"/>
      <c r="G305" s="232"/>
      <c r="H305" s="232"/>
      <c r="I305" s="234"/>
    </row>
    <row r="306" spans="1:19" s="233" customFormat="1" ht="27" customHeight="1">
      <c r="A306" s="230"/>
      <c r="B306" s="231"/>
      <c r="C306" s="231"/>
      <c r="D306" s="231" t="s">
        <v>285</v>
      </c>
      <c r="E306" s="231"/>
      <c r="F306" s="207"/>
      <c r="G306" s="232"/>
      <c r="H306" s="232"/>
      <c r="I306" s="234"/>
      <c r="J306" s="591"/>
      <c r="S306" s="592"/>
    </row>
    <row r="307" spans="1:19" s="233" customFormat="1" ht="13.5" customHeight="1">
      <c r="A307" s="230"/>
      <c r="B307" s="231"/>
      <c r="C307" s="231"/>
      <c r="D307" s="231" t="s">
        <v>133</v>
      </c>
      <c r="E307" s="231"/>
      <c r="F307" s="207"/>
      <c r="G307" s="232"/>
      <c r="H307" s="232"/>
      <c r="I307" s="234"/>
    </row>
    <row r="308" spans="1:19" s="243" customFormat="1" ht="13.5" customHeight="1">
      <c r="A308" s="239">
        <v>43</v>
      </c>
      <c r="B308" s="240">
        <v>766</v>
      </c>
      <c r="C308" s="241" t="s">
        <v>287</v>
      </c>
      <c r="D308" s="241" t="s">
        <v>503</v>
      </c>
      <c r="E308" s="241" t="s">
        <v>23</v>
      </c>
      <c r="F308" s="236">
        <f>SUM(F309:F309)</f>
        <v>1</v>
      </c>
      <c r="G308" s="242">
        <v>185000</v>
      </c>
      <c r="H308" s="133">
        <f>F308*G308</f>
        <v>185000</v>
      </c>
      <c r="I308" s="196" t="s">
        <v>49</v>
      </c>
      <c r="J308" s="600"/>
      <c r="K308" s="608"/>
      <c r="L308" s="601"/>
      <c r="M308" s="602"/>
    </row>
    <row r="309" spans="1:19" s="243" customFormat="1" ht="13.5" customHeight="1">
      <c r="A309" s="239"/>
      <c r="B309" s="240"/>
      <c r="C309" s="241"/>
      <c r="D309" s="250" t="s">
        <v>286</v>
      </c>
      <c r="E309" s="241"/>
      <c r="F309" s="246">
        <v>1</v>
      </c>
      <c r="G309" s="242"/>
      <c r="H309" s="242"/>
      <c r="I309" s="196"/>
      <c r="J309" s="600"/>
      <c r="L309" s="601"/>
    </row>
    <row r="310" spans="1:19" s="92" customFormat="1" ht="13.5" customHeight="1">
      <c r="A310" s="170"/>
      <c r="B310" s="89"/>
      <c r="C310" s="89"/>
      <c r="D310" s="80" t="s">
        <v>80</v>
      </c>
      <c r="E310" s="89"/>
      <c r="F310" s="142"/>
      <c r="G310" s="91"/>
      <c r="H310" s="91"/>
      <c r="I310" s="176"/>
    </row>
    <row r="311" spans="1:19" s="233" customFormat="1" ht="13.5" customHeight="1">
      <c r="A311" s="230"/>
      <c r="B311" s="231"/>
      <c r="C311" s="231"/>
      <c r="D311" s="231" t="s">
        <v>284</v>
      </c>
      <c r="E311" s="231"/>
      <c r="F311" s="207"/>
      <c r="G311" s="232"/>
      <c r="H311" s="232"/>
      <c r="I311" s="234"/>
    </row>
    <row r="312" spans="1:19" s="233" customFormat="1" ht="27" customHeight="1">
      <c r="A312" s="230"/>
      <c r="B312" s="231"/>
      <c r="C312" s="231"/>
      <c r="D312" s="231" t="s">
        <v>285</v>
      </c>
      <c r="E312" s="231"/>
      <c r="F312" s="207"/>
      <c r="G312" s="232"/>
      <c r="H312" s="232"/>
      <c r="I312" s="234"/>
      <c r="J312" s="591"/>
      <c r="S312" s="592"/>
    </row>
    <row r="313" spans="1:19" s="233" customFormat="1" ht="13.5" customHeight="1">
      <c r="A313" s="230"/>
      <c r="B313" s="231"/>
      <c r="C313" s="231"/>
      <c r="D313" s="231" t="s">
        <v>133</v>
      </c>
      <c r="E313" s="231"/>
      <c r="F313" s="207"/>
      <c r="G313" s="232"/>
      <c r="H313" s="232"/>
      <c r="I313" s="234"/>
    </row>
    <row r="314" spans="1:19" s="243" customFormat="1" ht="13.5" customHeight="1">
      <c r="A314" s="239">
        <v>44</v>
      </c>
      <c r="B314" s="240" t="s">
        <v>288</v>
      </c>
      <c r="C314" s="241" t="s">
        <v>289</v>
      </c>
      <c r="D314" s="241" t="s">
        <v>290</v>
      </c>
      <c r="E314" s="241" t="s">
        <v>23</v>
      </c>
      <c r="F314" s="236">
        <f>SUM(F315:F315)</f>
        <v>1</v>
      </c>
      <c r="G314" s="242">
        <v>450000</v>
      </c>
      <c r="H314" s="133">
        <f>F314*G314</f>
        <v>450000</v>
      </c>
      <c r="I314" s="196" t="s">
        <v>49</v>
      </c>
      <c r="J314" s="600"/>
      <c r="L314" s="601"/>
      <c r="M314" s="602"/>
    </row>
    <row r="315" spans="1:19" s="243" customFormat="1" ht="13.5" customHeight="1">
      <c r="A315" s="244"/>
      <c r="B315" s="245"/>
      <c r="C315" s="245"/>
      <c r="D315" s="179" t="s">
        <v>291</v>
      </c>
      <c r="E315" s="178"/>
      <c r="F315" s="246">
        <v>1</v>
      </c>
      <c r="G315" s="247"/>
      <c r="H315" s="247"/>
      <c r="I315" s="248"/>
      <c r="J315" s="249"/>
      <c r="L315" s="603"/>
      <c r="N315" s="604"/>
      <c r="R315" s="602"/>
    </row>
    <row r="316" spans="1:19" s="92" customFormat="1" ht="13.5" customHeight="1">
      <c r="A316" s="170"/>
      <c r="B316" s="89"/>
      <c r="C316" s="89"/>
      <c r="D316" s="80" t="s">
        <v>80</v>
      </c>
      <c r="E316" s="89"/>
      <c r="F316" s="142"/>
      <c r="G316" s="91"/>
      <c r="H316" s="91"/>
      <c r="I316" s="176"/>
    </row>
    <row r="317" spans="1:19" s="233" customFormat="1" ht="13.5" customHeight="1">
      <c r="A317" s="230"/>
      <c r="B317" s="231"/>
      <c r="C317" s="231"/>
      <c r="D317" s="231" t="s">
        <v>292</v>
      </c>
      <c r="E317" s="231"/>
      <c r="F317" s="207"/>
      <c r="G317" s="232"/>
      <c r="H317" s="232"/>
      <c r="I317" s="234"/>
    </row>
    <row r="318" spans="1:19" s="233" customFormat="1" ht="13.5" customHeight="1">
      <c r="A318" s="230"/>
      <c r="B318" s="231"/>
      <c r="C318" s="231"/>
      <c r="D318" s="231" t="s">
        <v>293</v>
      </c>
      <c r="E318" s="231"/>
      <c r="F318" s="207"/>
      <c r="G318" s="232"/>
      <c r="H318" s="232"/>
      <c r="I318" s="234"/>
      <c r="J318" s="591"/>
      <c r="S318" s="592"/>
    </row>
    <row r="319" spans="1:19" s="233" customFormat="1" ht="13.5" customHeight="1">
      <c r="A319" s="230"/>
      <c r="B319" s="231"/>
      <c r="C319" s="231"/>
      <c r="D319" s="231" t="s">
        <v>294</v>
      </c>
      <c r="E319" s="231"/>
      <c r="F319" s="207"/>
      <c r="G319" s="232"/>
      <c r="H319" s="232"/>
      <c r="I319" s="234"/>
    </row>
    <row r="320" spans="1:19" s="233" customFormat="1" ht="13.5" customHeight="1">
      <c r="A320" s="230"/>
      <c r="B320" s="231"/>
      <c r="C320" s="231"/>
      <c r="D320" s="231" t="s">
        <v>295</v>
      </c>
      <c r="E320" s="231"/>
      <c r="F320" s="207"/>
      <c r="G320" s="232"/>
      <c r="H320" s="232"/>
      <c r="I320" s="234"/>
      <c r="J320" s="591"/>
      <c r="S320" s="592"/>
    </row>
    <row r="321" spans="1:19" s="233" customFormat="1" ht="27" customHeight="1">
      <c r="A321" s="230"/>
      <c r="B321" s="231"/>
      <c r="C321" s="231"/>
      <c r="D321" s="80" t="s">
        <v>296</v>
      </c>
      <c r="E321" s="231"/>
      <c r="F321" s="207"/>
      <c r="G321" s="232"/>
      <c r="H321" s="232"/>
      <c r="I321" s="234"/>
    </row>
    <row r="322" spans="1:19" s="233" customFormat="1" ht="13.5" customHeight="1">
      <c r="A322" s="230"/>
      <c r="B322" s="231"/>
      <c r="C322" s="231"/>
      <c r="D322" s="80" t="s">
        <v>297</v>
      </c>
      <c r="E322" s="231"/>
      <c r="F322" s="207"/>
      <c r="G322" s="232"/>
      <c r="H322" s="232"/>
      <c r="I322" s="234"/>
      <c r="J322" s="609"/>
    </row>
    <row r="323" spans="1:19" s="233" customFormat="1" ht="13.5" customHeight="1">
      <c r="A323" s="230"/>
      <c r="B323" s="231"/>
      <c r="C323" s="231"/>
      <c r="D323" s="231" t="s">
        <v>133</v>
      </c>
      <c r="E323" s="231"/>
      <c r="F323" s="207"/>
      <c r="G323" s="232"/>
      <c r="H323" s="232"/>
      <c r="I323" s="234"/>
    </row>
    <row r="324" spans="1:19" s="216" customFormat="1" ht="13.5" customHeight="1">
      <c r="A324" s="213">
        <v>45</v>
      </c>
      <c r="B324" s="73" t="s">
        <v>54</v>
      </c>
      <c r="C324" s="73" t="s">
        <v>298</v>
      </c>
      <c r="D324" s="73" t="s">
        <v>299</v>
      </c>
      <c r="E324" s="73" t="s">
        <v>44</v>
      </c>
      <c r="F324" s="236">
        <f>SUM(F325:F325)</f>
        <v>20</v>
      </c>
      <c r="G324" s="215">
        <v>464</v>
      </c>
      <c r="H324" s="133">
        <f>F324*G324</f>
        <v>9280</v>
      </c>
      <c r="I324" s="251" t="s">
        <v>45</v>
      </c>
    </row>
    <row r="325" spans="1:19" s="78" customFormat="1" ht="13.5" customHeight="1">
      <c r="A325" s="217"/>
      <c r="B325" s="218"/>
      <c r="C325" s="218"/>
      <c r="D325" s="76" t="s">
        <v>300</v>
      </c>
      <c r="E325" s="218"/>
      <c r="F325" s="207">
        <v>20</v>
      </c>
      <c r="G325" s="220"/>
      <c r="H325" s="215"/>
      <c r="I325" s="212"/>
    </row>
    <row r="326" spans="1:19" s="78" customFormat="1" ht="13.5" customHeight="1">
      <c r="A326" s="217"/>
      <c r="B326" s="218"/>
      <c r="C326" s="218"/>
      <c r="D326" s="76" t="s">
        <v>64</v>
      </c>
      <c r="E326" s="218"/>
      <c r="F326" s="207"/>
      <c r="G326" s="220"/>
      <c r="H326" s="215"/>
      <c r="I326" s="212"/>
    </row>
    <row r="327" spans="1:19" s="100" customFormat="1" ht="13.5" customHeight="1">
      <c r="A327" s="146"/>
      <c r="B327" s="147"/>
      <c r="C327" s="147">
        <v>767</v>
      </c>
      <c r="D327" s="147" t="s">
        <v>96</v>
      </c>
      <c r="E327" s="147"/>
      <c r="F327" s="148"/>
      <c r="G327" s="149"/>
      <c r="H327" s="149">
        <f>SUM(H328:H341)</f>
        <v>286960</v>
      </c>
      <c r="I327" s="163"/>
      <c r="J327" s="598"/>
      <c r="L327" s="599"/>
    </row>
    <row r="328" spans="1:19" s="243" customFormat="1" ht="13.5" customHeight="1">
      <c r="A328" s="239">
        <v>46</v>
      </c>
      <c r="B328" s="240" t="s">
        <v>301</v>
      </c>
      <c r="C328" s="241" t="s">
        <v>302</v>
      </c>
      <c r="D328" s="241" t="s">
        <v>546</v>
      </c>
      <c r="E328" s="241" t="s">
        <v>23</v>
      </c>
      <c r="F328" s="236">
        <f>SUM(F329:F329)</f>
        <v>1</v>
      </c>
      <c r="G328" s="242">
        <v>280000</v>
      </c>
      <c r="H328" s="133">
        <f>F328*G328</f>
        <v>280000</v>
      </c>
      <c r="I328" s="99" t="s">
        <v>49</v>
      </c>
      <c r="J328" s="600"/>
      <c r="L328" s="601"/>
      <c r="M328" s="602"/>
    </row>
    <row r="329" spans="1:19" s="243" customFormat="1" ht="13.5" customHeight="1">
      <c r="A329" s="244"/>
      <c r="B329" s="245"/>
      <c r="C329" s="245"/>
      <c r="D329" s="179" t="s">
        <v>303</v>
      </c>
      <c r="E329" s="178"/>
      <c r="F329" s="246">
        <v>1</v>
      </c>
      <c r="G329" s="247"/>
      <c r="H329" s="247"/>
      <c r="I329" s="248"/>
      <c r="J329" s="249"/>
      <c r="L329" s="603"/>
      <c r="N329" s="604"/>
      <c r="R329" s="602"/>
    </row>
    <row r="330" spans="1:19" s="92" customFormat="1" ht="13.5" customHeight="1">
      <c r="A330" s="170"/>
      <c r="B330" s="89"/>
      <c r="C330" s="89"/>
      <c r="D330" s="80" t="s">
        <v>80</v>
      </c>
      <c r="E330" s="89"/>
      <c r="F330" s="142"/>
      <c r="G330" s="91"/>
      <c r="H330" s="91"/>
      <c r="I330" s="176"/>
      <c r="J330" s="600"/>
    </row>
    <row r="331" spans="1:19" s="112" customFormat="1" ht="13.5" customHeight="1">
      <c r="A331" s="171"/>
      <c r="B331" s="158"/>
      <c r="C331" s="158"/>
      <c r="D331" s="158" t="s">
        <v>304</v>
      </c>
      <c r="E331" s="158"/>
      <c r="F331" s="113"/>
      <c r="G331" s="172"/>
      <c r="H331" s="172"/>
      <c r="I331" s="173"/>
    </row>
    <row r="332" spans="1:19" s="112" customFormat="1" ht="13.5" customHeight="1">
      <c r="A332" s="171"/>
      <c r="B332" s="158"/>
      <c r="C332" s="158"/>
      <c r="D332" s="158" t="s">
        <v>305</v>
      </c>
      <c r="E332" s="158"/>
      <c r="F332" s="113"/>
      <c r="G332" s="172"/>
      <c r="H332" s="172"/>
      <c r="I332" s="173"/>
      <c r="J332" s="567"/>
      <c r="S332" s="605"/>
    </row>
    <row r="333" spans="1:19" s="112" customFormat="1" ht="13.5" customHeight="1">
      <c r="A333" s="171"/>
      <c r="B333" s="158"/>
      <c r="C333" s="158"/>
      <c r="D333" s="80" t="s">
        <v>306</v>
      </c>
      <c r="E333" s="158"/>
      <c r="F333" s="113"/>
      <c r="G333" s="172"/>
      <c r="H333" s="172"/>
      <c r="I333" s="173"/>
    </row>
    <row r="334" spans="1:19" s="112" customFormat="1" ht="13.5" customHeight="1">
      <c r="A334" s="171"/>
      <c r="B334" s="158"/>
      <c r="C334" s="158"/>
      <c r="D334" s="80" t="s">
        <v>307</v>
      </c>
      <c r="E334" s="158"/>
      <c r="F334" s="113"/>
      <c r="G334" s="172"/>
      <c r="H334" s="172"/>
      <c r="I334" s="173"/>
    </row>
    <row r="335" spans="1:19" s="112" customFormat="1" ht="13.5" customHeight="1">
      <c r="A335" s="171"/>
      <c r="B335" s="158"/>
      <c r="C335" s="158"/>
      <c r="D335" s="80" t="s">
        <v>379</v>
      </c>
      <c r="E335" s="158"/>
      <c r="F335" s="113"/>
      <c r="G335" s="172"/>
      <c r="H335" s="172"/>
      <c r="I335" s="173"/>
    </row>
    <row r="336" spans="1:19" s="112" customFormat="1" ht="13.5" customHeight="1">
      <c r="A336" s="171"/>
      <c r="B336" s="158"/>
      <c r="C336" s="158"/>
      <c r="D336" s="80" t="s">
        <v>308</v>
      </c>
      <c r="E336" s="158"/>
      <c r="F336" s="113"/>
      <c r="G336" s="172"/>
      <c r="H336" s="172"/>
      <c r="I336" s="173"/>
    </row>
    <row r="337" spans="1:13" s="112" customFormat="1" ht="13.5" customHeight="1">
      <c r="A337" s="171"/>
      <c r="B337" s="158"/>
      <c r="C337" s="158"/>
      <c r="D337" s="80" t="s">
        <v>309</v>
      </c>
      <c r="E337" s="158"/>
      <c r="F337" s="113"/>
      <c r="G337" s="172"/>
      <c r="H337" s="172"/>
      <c r="I337" s="173"/>
    </row>
    <row r="338" spans="1:13" s="112" customFormat="1" ht="13.5" customHeight="1">
      <c r="A338" s="171"/>
      <c r="B338" s="158"/>
      <c r="C338" s="158"/>
      <c r="D338" s="158" t="s">
        <v>133</v>
      </c>
      <c r="E338" s="158"/>
      <c r="F338" s="113"/>
      <c r="G338" s="172"/>
      <c r="H338" s="172"/>
      <c r="I338" s="173"/>
    </row>
    <row r="339" spans="1:13" s="100" customFormat="1" ht="13.5" customHeight="1">
      <c r="A339" s="96">
        <v>47</v>
      </c>
      <c r="B339" s="97" t="s">
        <v>54</v>
      </c>
      <c r="C339" s="97" t="s">
        <v>310</v>
      </c>
      <c r="D339" s="97" t="s">
        <v>311</v>
      </c>
      <c r="E339" s="97" t="s">
        <v>44</v>
      </c>
      <c r="F339" s="236">
        <f>SUM(F340:F340)</f>
        <v>15</v>
      </c>
      <c r="G339" s="215">
        <v>464</v>
      </c>
      <c r="H339" s="133">
        <f>F339*G339</f>
        <v>6960</v>
      </c>
      <c r="I339" s="251" t="s">
        <v>45</v>
      </c>
    </row>
    <row r="340" spans="1:13" s="100" customFormat="1" ht="13.5" customHeight="1">
      <c r="A340" s="102"/>
      <c r="B340" s="103"/>
      <c r="C340" s="103"/>
      <c r="D340" s="101" t="s">
        <v>270</v>
      </c>
      <c r="E340" s="103"/>
      <c r="F340" s="113">
        <v>15</v>
      </c>
      <c r="G340" s="110"/>
      <c r="H340" s="106"/>
      <c r="I340" s="109"/>
    </row>
    <row r="341" spans="1:13" s="100" customFormat="1" ht="13.5" customHeight="1">
      <c r="A341" s="102"/>
      <c r="B341" s="103"/>
      <c r="C341" s="103"/>
      <c r="D341" s="101" t="s">
        <v>64</v>
      </c>
      <c r="E341" s="103"/>
      <c r="F341" s="113"/>
      <c r="G341" s="110"/>
      <c r="H341" s="106"/>
      <c r="I341" s="109"/>
    </row>
    <row r="342" spans="1:13" s="88" customFormat="1" ht="13.5" customHeight="1">
      <c r="A342" s="228"/>
      <c r="B342" s="147"/>
      <c r="C342" s="147">
        <v>771</v>
      </c>
      <c r="D342" s="147" t="s">
        <v>97</v>
      </c>
      <c r="E342" s="147"/>
      <c r="F342" s="148"/>
      <c r="G342" s="148"/>
      <c r="H342" s="148">
        <f>SUM(H343:H356)</f>
        <v>841636</v>
      </c>
      <c r="I342" s="99"/>
      <c r="J342" s="610"/>
      <c r="K342" s="611"/>
      <c r="L342" s="611"/>
      <c r="M342" s="100"/>
    </row>
    <row r="343" spans="1:13" s="100" customFormat="1" ht="13.5" customHeight="1">
      <c r="A343" s="165">
        <v>48</v>
      </c>
      <c r="B343" s="97">
        <v>771</v>
      </c>
      <c r="C343" s="97" t="s">
        <v>312</v>
      </c>
      <c r="D343" s="97" t="s">
        <v>560</v>
      </c>
      <c r="E343" s="97" t="s">
        <v>48</v>
      </c>
      <c r="F343" s="98">
        <f>SUM(F344)</f>
        <v>267.31</v>
      </c>
      <c r="G343" s="98">
        <v>3100</v>
      </c>
      <c r="H343" s="133">
        <f>F343*G343</f>
        <v>828661</v>
      </c>
      <c r="I343" s="99" t="s">
        <v>49</v>
      </c>
      <c r="J343" s="610"/>
    </row>
    <row r="344" spans="1:13" s="100" customFormat="1" ht="13.5" customHeight="1">
      <c r="A344" s="102"/>
      <c r="B344" s="103"/>
      <c r="C344" s="103"/>
      <c r="D344" s="101" t="s">
        <v>561</v>
      </c>
      <c r="E344" s="103"/>
      <c r="F344" s="113">
        <f>37.25+3.39+3.61+1.3+1.31+5.49+2.4+2.48+1.99+4.58+6.86+((16.07+16.07+3.25+7.01+7.01)*3)+15.87+5.98+2.55+5.94+4.05+7.01+7.02</f>
        <v>267.31</v>
      </c>
      <c r="G344" s="110"/>
      <c r="H344" s="106"/>
      <c r="I344" s="440"/>
    </row>
    <row r="345" spans="1:13" s="100" customFormat="1" ht="13.5" customHeight="1">
      <c r="A345" s="102"/>
      <c r="B345" s="103"/>
      <c r="C345" s="103"/>
      <c r="D345" s="101" t="s">
        <v>80</v>
      </c>
      <c r="E345" s="103"/>
      <c r="F345" s="113"/>
      <c r="G345" s="110"/>
      <c r="H345" s="106"/>
      <c r="I345" s="440"/>
    </row>
    <row r="346" spans="1:13" s="100" customFormat="1" ht="13.5" customHeight="1">
      <c r="A346" s="441"/>
      <c r="B346" s="442"/>
      <c r="C346" s="442"/>
      <c r="D346" s="101" t="s">
        <v>562</v>
      </c>
      <c r="E346" s="442"/>
      <c r="F346" s="443"/>
      <c r="G346" s="444"/>
      <c r="H346" s="430"/>
      <c r="I346" s="445"/>
    </row>
    <row r="347" spans="1:13" s="100" customFormat="1" ht="13.5" customHeight="1">
      <c r="A347" s="102"/>
      <c r="B347" s="103"/>
      <c r="C347" s="103"/>
      <c r="D347" s="101" t="s">
        <v>313</v>
      </c>
      <c r="E347" s="103"/>
      <c r="F347" s="113"/>
      <c r="G347" s="110"/>
      <c r="H347" s="106"/>
      <c r="I347" s="109"/>
      <c r="J347" s="612"/>
    </row>
    <row r="348" spans="1:13" s="100" customFormat="1" ht="13.5" customHeight="1">
      <c r="A348" s="102"/>
      <c r="B348" s="103"/>
      <c r="C348" s="103"/>
      <c r="D348" s="101" t="s">
        <v>314</v>
      </c>
      <c r="E348" s="103"/>
      <c r="F348" s="113"/>
      <c r="G348" s="110"/>
      <c r="H348" s="106"/>
      <c r="I348" s="109"/>
    </row>
    <row r="349" spans="1:13" s="100" customFormat="1" ht="13.5" customHeight="1">
      <c r="A349" s="102"/>
      <c r="B349" s="103"/>
      <c r="C349" s="103"/>
      <c r="D349" s="101" t="s">
        <v>315</v>
      </c>
      <c r="E349" s="103"/>
      <c r="F349" s="113"/>
      <c r="G349" s="110"/>
      <c r="H349" s="106"/>
      <c r="I349" s="109"/>
    </row>
    <row r="350" spans="1:13" s="100" customFormat="1" ht="13.5" customHeight="1">
      <c r="A350" s="102"/>
      <c r="B350" s="103"/>
      <c r="C350" s="103"/>
      <c r="D350" s="101" t="s">
        <v>316</v>
      </c>
      <c r="E350" s="103"/>
      <c r="F350" s="113"/>
      <c r="G350" s="110"/>
      <c r="H350" s="106"/>
      <c r="I350" s="109"/>
    </row>
    <row r="351" spans="1:13" s="100" customFormat="1" ht="13.5" customHeight="1">
      <c r="A351" s="102"/>
      <c r="B351" s="103"/>
      <c r="C351" s="103"/>
      <c r="D351" s="101" t="s">
        <v>317</v>
      </c>
      <c r="E351" s="103"/>
      <c r="F351" s="113"/>
      <c r="G351" s="110"/>
      <c r="H351" s="106"/>
      <c r="I351" s="109"/>
    </row>
    <row r="352" spans="1:13" s="111" customFormat="1" ht="40.5" customHeight="1">
      <c r="A352" s="165"/>
      <c r="B352" s="105"/>
      <c r="C352" s="97"/>
      <c r="D352" s="101" t="s">
        <v>318</v>
      </c>
      <c r="E352" s="97"/>
      <c r="F352" s="113"/>
      <c r="G352" s="98"/>
      <c r="H352" s="98"/>
      <c r="I352" s="99"/>
      <c r="J352" s="613"/>
    </row>
    <row r="353" spans="1:13" s="111" customFormat="1" ht="13.5" customHeight="1">
      <c r="A353" s="165"/>
      <c r="B353" s="105"/>
      <c r="C353" s="97"/>
      <c r="D353" s="101" t="s">
        <v>319</v>
      </c>
      <c r="E353" s="97"/>
      <c r="F353" s="113"/>
      <c r="G353" s="98"/>
      <c r="H353" s="98"/>
      <c r="I353" s="99"/>
    </row>
    <row r="354" spans="1:13" s="100" customFormat="1" ht="13.5" customHeight="1">
      <c r="A354" s="165">
        <v>49</v>
      </c>
      <c r="B354" s="97" t="s">
        <v>54</v>
      </c>
      <c r="C354" s="97" t="s">
        <v>320</v>
      </c>
      <c r="D354" s="97" t="s">
        <v>321</v>
      </c>
      <c r="E354" s="97" t="s">
        <v>44</v>
      </c>
      <c r="F354" s="98">
        <f>F355</f>
        <v>25</v>
      </c>
      <c r="G354" s="98">
        <v>519</v>
      </c>
      <c r="H354" s="133">
        <f>F354*G354</f>
        <v>12975</v>
      </c>
      <c r="I354" s="99" t="s">
        <v>45</v>
      </c>
      <c r="J354" s="568"/>
      <c r="K354" s="568"/>
    </row>
    <row r="355" spans="1:13" s="111" customFormat="1" ht="13.5" customHeight="1">
      <c r="A355" s="165"/>
      <c r="B355" s="105"/>
      <c r="C355" s="97"/>
      <c r="D355" s="101" t="s">
        <v>322</v>
      </c>
      <c r="E355" s="97"/>
      <c r="F355" s="113">
        <v>25</v>
      </c>
      <c r="G355" s="98"/>
      <c r="H355" s="98"/>
      <c r="I355" s="99"/>
    </row>
    <row r="356" spans="1:13" s="111" customFormat="1" ht="27" customHeight="1">
      <c r="A356" s="165"/>
      <c r="B356" s="105"/>
      <c r="C356" s="97"/>
      <c r="D356" s="101" t="s">
        <v>323</v>
      </c>
      <c r="E356" s="97"/>
      <c r="F356" s="113"/>
      <c r="G356" s="98"/>
      <c r="H356" s="98"/>
      <c r="I356" s="99"/>
      <c r="J356" s="614"/>
    </row>
    <row r="357" spans="1:13" s="100" customFormat="1" ht="13.5" customHeight="1">
      <c r="A357" s="446"/>
      <c r="B357" s="147"/>
      <c r="C357" s="147">
        <v>776</v>
      </c>
      <c r="D357" s="147" t="s">
        <v>98</v>
      </c>
      <c r="E357" s="147"/>
      <c r="F357" s="148"/>
      <c r="G357" s="148"/>
      <c r="H357" s="148">
        <f>SUM(H358:H382)</f>
        <v>2212974.6000000006</v>
      </c>
      <c r="I357" s="109"/>
      <c r="J357" s="252"/>
      <c r="K357" s="615"/>
      <c r="M357" s="616"/>
    </row>
    <row r="358" spans="1:13" s="100" customFormat="1" ht="13.5" customHeight="1">
      <c r="A358" s="165">
        <v>50</v>
      </c>
      <c r="B358" s="97">
        <v>776</v>
      </c>
      <c r="C358" s="97" t="s">
        <v>325</v>
      </c>
      <c r="D358" s="97" t="s">
        <v>566</v>
      </c>
      <c r="E358" s="97" t="s">
        <v>48</v>
      </c>
      <c r="F358" s="98">
        <f>SUM(F359:F359)</f>
        <v>609.61000000000013</v>
      </c>
      <c r="G358" s="98">
        <v>3100</v>
      </c>
      <c r="H358" s="133">
        <f>F358*G358</f>
        <v>1889791.0000000005</v>
      </c>
      <c r="I358" s="99" t="s">
        <v>49</v>
      </c>
      <c r="J358" s="610"/>
    </row>
    <row r="359" spans="1:13" s="100" customFormat="1" ht="13.5" customHeight="1">
      <c r="A359" s="102"/>
      <c r="B359" s="103"/>
      <c r="C359" s="103"/>
      <c r="D359" s="101" t="s">
        <v>326</v>
      </c>
      <c r="E359" s="103"/>
      <c r="F359" s="113">
        <f>4.8+182.9+3.34+182.9+3.37+61.26+99.2+3.35+68.49</f>
        <v>609.61000000000013</v>
      </c>
      <c r="G359" s="110"/>
      <c r="H359" s="106"/>
      <c r="I359" s="440"/>
      <c r="J359" s="617"/>
    </row>
    <row r="360" spans="1:13" s="100" customFormat="1" ht="13.5" customHeight="1">
      <c r="A360" s="102"/>
      <c r="B360" s="103"/>
      <c r="C360" s="103"/>
      <c r="D360" s="101" t="s">
        <v>80</v>
      </c>
      <c r="E360" s="103"/>
      <c r="F360" s="113"/>
      <c r="G360" s="110"/>
      <c r="H360" s="106"/>
      <c r="I360" s="440"/>
    </row>
    <row r="361" spans="1:13" s="100" customFormat="1" ht="13.5" customHeight="1">
      <c r="A361" s="102"/>
      <c r="B361" s="103"/>
      <c r="C361" s="103"/>
      <c r="D361" s="101" t="s">
        <v>567</v>
      </c>
      <c r="E361" s="103"/>
      <c r="F361" s="113"/>
      <c r="G361" s="110"/>
      <c r="H361" s="106"/>
      <c r="I361" s="109"/>
      <c r="J361" s="612"/>
    </row>
    <row r="362" spans="1:13" s="100" customFormat="1" ht="13.5" customHeight="1">
      <c r="A362" s="102"/>
      <c r="B362" s="103"/>
      <c r="C362" s="103"/>
      <c r="D362" s="101" t="s">
        <v>327</v>
      </c>
      <c r="E362" s="103"/>
      <c r="F362" s="113"/>
      <c r="G362" s="110"/>
      <c r="H362" s="106"/>
      <c r="I362" s="109"/>
      <c r="J362" s="612"/>
    </row>
    <row r="363" spans="1:13" s="100" customFormat="1" ht="13.5" customHeight="1">
      <c r="A363" s="102"/>
      <c r="B363" s="103"/>
      <c r="C363" s="103"/>
      <c r="D363" s="101" t="s">
        <v>314</v>
      </c>
      <c r="E363" s="103"/>
      <c r="F363" s="113"/>
      <c r="G363" s="110"/>
      <c r="H363" s="106"/>
      <c r="I363" s="109"/>
    </row>
    <row r="364" spans="1:13" s="100" customFormat="1" ht="13.5" customHeight="1">
      <c r="A364" s="102"/>
      <c r="B364" s="103"/>
      <c r="C364" s="103"/>
      <c r="D364" s="101" t="s">
        <v>315</v>
      </c>
      <c r="E364" s="103"/>
      <c r="F364" s="113"/>
      <c r="G364" s="110"/>
      <c r="H364" s="106"/>
      <c r="I364" s="109"/>
    </row>
    <row r="365" spans="1:13" s="100" customFormat="1" ht="13.5" customHeight="1">
      <c r="A365" s="102"/>
      <c r="B365" s="103"/>
      <c r="C365" s="103"/>
      <c r="D365" s="101" t="s">
        <v>316</v>
      </c>
      <c r="E365" s="103"/>
      <c r="F365" s="113"/>
      <c r="G365" s="110"/>
      <c r="H365" s="106"/>
      <c r="I365" s="109"/>
    </row>
    <row r="366" spans="1:13" s="100" customFormat="1" ht="13.5" customHeight="1">
      <c r="A366" s="102"/>
      <c r="B366" s="103"/>
      <c r="C366" s="103"/>
      <c r="D366" s="101" t="s">
        <v>317</v>
      </c>
      <c r="E366" s="103"/>
      <c r="F366" s="113"/>
      <c r="G366" s="110"/>
      <c r="H366" s="106"/>
      <c r="I366" s="109"/>
    </row>
    <row r="367" spans="1:13" s="100" customFormat="1" ht="40.5" customHeight="1">
      <c r="A367" s="102"/>
      <c r="B367" s="103"/>
      <c r="C367" s="103"/>
      <c r="D367" s="101" t="s">
        <v>328</v>
      </c>
      <c r="E367" s="103"/>
      <c r="F367" s="113"/>
      <c r="G367" s="110"/>
      <c r="H367" s="106"/>
      <c r="I367" s="109"/>
    </row>
    <row r="368" spans="1:13" s="100" customFormat="1" ht="13.5" customHeight="1">
      <c r="A368" s="102"/>
      <c r="B368" s="103"/>
      <c r="C368" s="103"/>
      <c r="D368" s="101" t="s">
        <v>329</v>
      </c>
      <c r="E368" s="103"/>
      <c r="F368" s="113"/>
      <c r="G368" s="110"/>
      <c r="H368" s="106"/>
      <c r="I368" s="109"/>
    </row>
    <row r="369" spans="1:14" s="451" customFormat="1" ht="13.5" customHeight="1">
      <c r="A369" s="447">
        <v>51</v>
      </c>
      <c r="B369" s="448">
        <v>776</v>
      </c>
      <c r="C369" s="448" t="s">
        <v>659</v>
      </c>
      <c r="D369" s="448" t="s">
        <v>568</v>
      </c>
      <c r="E369" s="448" t="s">
        <v>48</v>
      </c>
      <c r="F369" s="449">
        <f>SUM(F370:F377)</f>
        <v>90.62</v>
      </c>
      <c r="G369" s="449">
        <v>3280</v>
      </c>
      <c r="H369" s="449">
        <f>F369*G369</f>
        <v>297233.60000000003</v>
      </c>
      <c r="I369" s="99" t="s">
        <v>49</v>
      </c>
      <c r="J369" s="586"/>
      <c r="K369" s="587"/>
      <c r="L369" s="587"/>
      <c r="M369" s="586"/>
      <c r="N369" s="539"/>
    </row>
    <row r="370" spans="1:14" s="451" customFormat="1" ht="13.5" customHeight="1">
      <c r="A370" s="452"/>
      <c r="B370" s="453"/>
      <c r="C370" s="453"/>
      <c r="D370" s="454" t="s">
        <v>570</v>
      </c>
      <c r="E370" s="453"/>
      <c r="F370" s="455">
        <f>36.07+15.22+16.93+22.4</f>
        <v>90.62</v>
      </c>
      <c r="G370" s="456"/>
      <c r="H370" s="457"/>
      <c r="I370" s="458"/>
      <c r="J370" s="586"/>
      <c r="K370" s="587"/>
      <c r="L370" s="587"/>
      <c r="M370" s="586"/>
      <c r="N370" s="539"/>
    </row>
    <row r="371" spans="1:14" s="451" customFormat="1" ht="13.5" customHeight="1">
      <c r="A371" s="452"/>
      <c r="B371" s="453"/>
      <c r="C371" s="453"/>
      <c r="D371" s="454" t="s">
        <v>80</v>
      </c>
      <c r="E371" s="453"/>
      <c r="F371" s="455"/>
      <c r="G371" s="456"/>
      <c r="H371" s="457"/>
      <c r="I371" s="458"/>
      <c r="J371" s="586"/>
      <c r="K371" s="587"/>
      <c r="L371" s="587"/>
      <c r="M371" s="586"/>
      <c r="N371" s="539"/>
    </row>
    <row r="372" spans="1:14" s="100" customFormat="1" ht="13.5" customHeight="1">
      <c r="A372" s="102"/>
      <c r="B372" s="103"/>
      <c r="C372" s="103"/>
      <c r="D372" s="101" t="s">
        <v>567</v>
      </c>
      <c r="E372" s="103"/>
      <c r="F372" s="113"/>
      <c r="G372" s="110"/>
      <c r="H372" s="106"/>
      <c r="I372" s="109"/>
      <c r="J372" s="612"/>
    </row>
    <row r="373" spans="1:14" s="451" customFormat="1" ht="13.5" customHeight="1">
      <c r="A373" s="452"/>
      <c r="B373" s="453"/>
      <c r="C373" s="453"/>
      <c r="D373" s="454" t="s">
        <v>571</v>
      </c>
      <c r="E373" s="453"/>
      <c r="F373" s="455"/>
      <c r="G373" s="456"/>
      <c r="H373" s="457"/>
      <c r="I373" s="458"/>
      <c r="J373" s="586"/>
      <c r="K373" s="587"/>
      <c r="L373" s="587"/>
      <c r="M373" s="586"/>
      <c r="N373" s="539"/>
    </row>
    <row r="374" spans="1:14" s="451" customFormat="1" ht="13.5" customHeight="1">
      <c r="A374" s="452"/>
      <c r="B374" s="453"/>
      <c r="C374" s="453"/>
      <c r="D374" s="454" t="s">
        <v>314</v>
      </c>
      <c r="E374" s="453"/>
      <c r="F374" s="455"/>
      <c r="G374" s="456"/>
      <c r="H374" s="457"/>
      <c r="I374" s="458"/>
      <c r="J374" s="586"/>
      <c r="K374" s="587"/>
      <c r="L374" s="587"/>
      <c r="M374" s="586"/>
      <c r="N374" s="539"/>
    </row>
    <row r="375" spans="1:14" s="451" customFormat="1" ht="13.5" customHeight="1">
      <c r="A375" s="452"/>
      <c r="B375" s="453"/>
      <c r="C375" s="453"/>
      <c r="D375" s="454" t="s">
        <v>315</v>
      </c>
      <c r="E375" s="453"/>
      <c r="F375" s="455"/>
      <c r="G375" s="456"/>
      <c r="H375" s="457"/>
      <c r="I375" s="458"/>
      <c r="J375" s="586"/>
      <c r="K375" s="587"/>
      <c r="L375" s="587"/>
      <c r="M375" s="586"/>
      <c r="N375" s="539"/>
    </row>
    <row r="376" spans="1:14" s="451" customFormat="1" ht="13.5" customHeight="1">
      <c r="A376" s="452"/>
      <c r="B376" s="453"/>
      <c r="C376" s="453"/>
      <c r="D376" s="454" t="s">
        <v>316</v>
      </c>
      <c r="E376" s="453"/>
      <c r="F376" s="455"/>
      <c r="G376" s="456"/>
      <c r="H376" s="457"/>
      <c r="I376" s="458"/>
      <c r="J376" s="586"/>
      <c r="K376" s="587"/>
      <c r="L376" s="587"/>
      <c r="M376" s="586"/>
      <c r="N376" s="539"/>
    </row>
    <row r="377" spans="1:14" s="451" customFormat="1" ht="13.5" customHeight="1">
      <c r="A377" s="452"/>
      <c r="B377" s="453"/>
      <c r="C377" s="453"/>
      <c r="D377" s="454" t="s">
        <v>317</v>
      </c>
      <c r="E377" s="453"/>
      <c r="F377" s="455"/>
      <c r="G377" s="456"/>
      <c r="H377" s="457"/>
      <c r="I377" s="458"/>
      <c r="J377" s="586"/>
      <c r="K377" s="587"/>
      <c r="L377" s="587"/>
      <c r="M377" s="586"/>
      <c r="N377" s="539"/>
    </row>
    <row r="378" spans="1:14" s="451" customFormat="1" ht="40.5" customHeight="1">
      <c r="A378" s="452"/>
      <c r="B378" s="453"/>
      <c r="C378" s="453"/>
      <c r="D378" s="454" t="s">
        <v>328</v>
      </c>
      <c r="E378" s="453"/>
      <c r="F378" s="455"/>
      <c r="G378" s="456"/>
      <c r="H378" s="457"/>
      <c r="I378" s="458"/>
      <c r="J378" s="586"/>
      <c r="K378" s="587"/>
      <c r="L378" s="587"/>
      <c r="M378" s="586"/>
      <c r="N378" s="539"/>
    </row>
    <row r="379" spans="1:14" s="451" customFormat="1" ht="13.5" customHeight="1">
      <c r="A379" s="452"/>
      <c r="B379" s="453"/>
      <c r="C379" s="453"/>
      <c r="D379" s="454" t="s">
        <v>329</v>
      </c>
      <c r="E379" s="453"/>
      <c r="F379" s="455"/>
      <c r="G379" s="456"/>
      <c r="H379" s="457"/>
      <c r="I379" s="458"/>
      <c r="J379" s="586"/>
      <c r="K379" s="587"/>
      <c r="L379" s="587"/>
      <c r="M379" s="586"/>
      <c r="N379" s="539"/>
    </row>
    <row r="380" spans="1:14" s="111" customFormat="1" ht="13.5" customHeight="1">
      <c r="A380" s="403">
        <v>52</v>
      </c>
      <c r="B380" s="97" t="s">
        <v>54</v>
      </c>
      <c r="C380" s="97" t="s">
        <v>320</v>
      </c>
      <c r="D380" s="97" t="s">
        <v>321</v>
      </c>
      <c r="E380" s="97" t="s">
        <v>44</v>
      </c>
      <c r="F380" s="98">
        <f>F381</f>
        <v>50</v>
      </c>
      <c r="G380" s="98">
        <v>519</v>
      </c>
      <c r="H380" s="133">
        <f t="shared" ref="H380" si="0">F380*G380</f>
        <v>25950</v>
      </c>
      <c r="I380" s="196" t="s">
        <v>45</v>
      </c>
    </row>
    <row r="381" spans="1:14" s="100" customFormat="1" ht="13.5" customHeight="1">
      <c r="A381" s="459"/>
      <c r="B381" s="103"/>
      <c r="C381" s="103"/>
      <c r="D381" s="101" t="s">
        <v>330</v>
      </c>
      <c r="E381" s="103"/>
      <c r="F381" s="113">
        <v>50</v>
      </c>
      <c r="G381" s="104"/>
      <c r="H381" s="98"/>
      <c r="I381" s="109"/>
    </row>
    <row r="382" spans="1:14" s="100" customFormat="1" ht="27" customHeight="1">
      <c r="A382" s="459"/>
      <c r="B382" s="103"/>
      <c r="C382" s="103"/>
      <c r="D382" s="101" t="s">
        <v>67</v>
      </c>
      <c r="E382" s="103"/>
      <c r="F382" s="113"/>
      <c r="G382" s="104"/>
      <c r="H382" s="98"/>
      <c r="I382" s="109"/>
      <c r="J382" s="618"/>
      <c r="K382" s="619"/>
      <c r="L382" s="619"/>
      <c r="M382" s="619"/>
    </row>
    <row r="383" spans="1:14" s="100" customFormat="1" ht="13.5" customHeight="1">
      <c r="A383" s="446"/>
      <c r="B383" s="147"/>
      <c r="C383" s="147">
        <v>777</v>
      </c>
      <c r="D383" s="147" t="s">
        <v>99</v>
      </c>
      <c r="E383" s="147"/>
      <c r="F383" s="148"/>
      <c r="G383" s="148"/>
      <c r="H383" s="148">
        <f>SUM(H384:H396)</f>
        <v>852586.5</v>
      </c>
      <c r="I383" s="109"/>
      <c r="J383" s="252"/>
      <c r="K383" s="615"/>
      <c r="M383" s="616"/>
    </row>
    <row r="384" spans="1:14" s="100" customFormat="1" ht="13.5" customHeight="1">
      <c r="A384" s="165">
        <v>53</v>
      </c>
      <c r="B384" s="97">
        <v>777</v>
      </c>
      <c r="C384" s="97" t="s">
        <v>331</v>
      </c>
      <c r="D384" s="97" t="s">
        <v>563</v>
      </c>
      <c r="E384" s="97" t="s">
        <v>48</v>
      </c>
      <c r="F384" s="98">
        <f>SUM(F385)</f>
        <v>245.1</v>
      </c>
      <c r="G384" s="98">
        <v>3415</v>
      </c>
      <c r="H384" s="133">
        <f>F384*G384</f>
        <v>837016.5</v>
      </c>
      <c r="I384" s="99" t="s">
        <v>49</v>
      </c>
      <c r="J384" s="537"/>
      <c r="K384" s="538"/>
      <c r="L384" s="538"/>
      <c r="M384" s="537"/>
      <c r="N384" s="539"/>
    </row>
    <row r="385" spans="1:18" s="100" customFormat="1" ht="13.5" customHeight="1">
      <c r="A385" s="102"/>
      <c r="B385" s="103"/>
      <c r="C385" s="103"/>
      <c r="D385" s="101" t="s">
        <v>564</v>
      </c>
      <c r="E385" s="103"/>
      <c r="F385" s="113">
        <f>3.42+32.06+81.02+28.06+68.33+20.09+12.12</f>
        <v>245.1</v>
      </c>
      <c r="G385" s="110"/>
      <c r="H385" s="106"/>
      <c r="I385" s="440"/>
      <c r="J385" s="540"/>
      <c r="K385" s="538"/>
      <c r="L385" s="538"/>
      <c r="M385" s="537"/>
      <c r="N385" s="539"/>
    </row>
    <row r="386" spans="1:18" s="100" customFormat="1" ht="13.5" customHeight="1">
      <c r="A386" s="102"/>
      <c r="B386" s="103"/>
      <c r="C386" s="103"/>
      <c r="D386" s="101" t="s">
        <v>80</v>
      </c>
      <c r="E386" s="103"/>
      <c r="F386" s="113"/>
      <c r="G386" s="110"/>
      <c r="H386" s="106"/>
      <c r="I386" s="440"/>
      <c r="J386" s="537"/>
      <c r="K386" s="538"/>
      <c r="L386" s="538"/>
      <c r="M386" s="537"/>
      <c r="N386" s="539"/>
    </row>
    <row r="387" spans="1:18" s="100" customFormat="1" ht="13.5" customHeight="1">
      <c r="A387" s="441"/>
      <c r="B387" s="442"/>
      <c r="C387" s="442"/>
      <c r="D387" s="101" t="s">
        <v>565</v>
      </c>
      <c r="E387" s="442"/>
      <c r="F387" s="443"/>
      <c r="G387" s="444"/>
      <c r="H387" s="430"/>
      <c r="I387" s="445"/>
      <c r="J387" s="537"/>
      <c r="K387" s="538"/>
      <c r="L387" s="538"/>
      <c r="M387" s="537"/>
      <c r="N387" s="539"/>
    </row>
    <row r="388" spans="1:18" s="100" customFormat="1" ht="13.5" customHeight="1">
      <c r="A388" s="102"/>
      <c r="B388" s="103"/>
      <c r="C388" s="103"/>
      <c r="D388" s="101" t="s">
        <v>332</v>
      </c>
      <c r="E388" s="103"/>
      <c r="F388" s="113"/>
      <c r="G388" s="110"/>
      <c r="H388" s="106"/>
      <c r="I388" s="109"/>
      <c r="J388" s="537"/>
      <c r="K388" s="538"/>
      <c r="L388" s="538"/>
      <c r="M388" s="537"/>
      <c r="N388" s="539"/>
    </row>
    <row r="389" spans="1:18" s="100" customFormat="1" ht="27" customHeight="1">
      <c r="A389" s="102"/>
      <c r="B389" s="103"/>
      <c r="C389" s="103"/>
      <c r="D389" s="101" t="s">
        <v>324</v>
      </c>
      <c r="E389" s="103"/>
      <c r="F389" s="113"/>
      <c r="G389" s="110"/>
      <c r="H389" s="106"/>
      <c r="I389" s="109"/>
      <c r="J389" s="537"/>
      <c r="K389" s="538"/>
      <c r="L389" s="538"/>
      <c r="M389" s="537"/>
      <c r="N389" s="539"/>
    </row>
    <row r="390" spans="1:18" s="100" customFormat="1" ht="13.5" customHeight="1">
      <c r="A390" s="102"/>
      <c r="B390" s="103"/>
      <c r="C390" s="103"/>
      <c r="D390" s="101" t="s">
        <v>315</v>
      </c>
      <c r="E390" s="103"/>
      <c r="F390" s="113"/>
      <c r="G390" s="110"/>
      <c r="H390" s="106"/>
      <c r="I390" s="109"/>
      <c r="J390" s="537"/>
      <c r="K390" s="538"/>
      <c r="L390" s="538"/>
      <c r="M390" s="537"/>
      <c r="N390" s="539"/>
    </row>
    <row r="391" spans="1:18" s="100" customFormat="1" ht="13.5" customHeight="1">
      <c r="A391" s="102"/>
      <c r="B391" s="103"/>
      <c r="C391" s="103"/>
      <c r="D391" s="101" t="s">
        <v>316</v>
      </c>
      <c r="E391" s="103"/>
      <c r="F391" s="113"/>
      <c r="G391" s="110"/>
      <c r="H391" s="106"/>
      <c r="I391" s="109"/>
      <c r="J391" s="537"/>
      <c r="K391" s="538"/>
      <c r="L391" s="538"/>
      <c r="M391" s="537"/>
      <c r="N391" s="539"/>
    </row>
    <row r="392" spans="1:18" s="100" customFormat="1" ht="13.5" customHeight="1">
      <c r="A392" s="102"/>
      <c r="B392" s="103"/>
      <c r="C392" s="103"/>
      <c r="D392" s="101" t="s">
        <v>317</v>
      </c>
      <c r="E392" s="103"/>
      <c r="F392" s="113"/>
      <c r="G392" s="110"/>
      <c r="H392" s="106"/>
      <c r="I392" s="109"/>
      <c r="J392" s="537"/>
      <c r="K392" s="538"/>
      <c r="L392" s="538"/>
      <c r="M392" s="537"/>
      <c r="N392" s="539"/>
    </row>
    <row r="393" spans="1:18" s="111" customFormat="1" ht="40.5" customHeight="1">
      <c r="A393" s="165"/>
      <c r="B393" s="105"/>
      <c r="C393" s="97"/>
      <c r="D393" s="101" t="s">
        <v>333</v>
      </c>
      <c r="E393" s="97"/>
      <c r="F393" s="113"/>
      <c r="G393" s="98"/>
      <c r="H393" s="98"/>
      <c r="I393" s="99"/>
      <c r="J393" s="537"/>
      <c r="K393" s="538"/>
      <c r="L393" s="538"/>
      <c r="M393" s="537"/>
      <c r="N393" s="539"/>
    </row>
    <row r="394" spans="1:18" s="111" customFormat="1" ht="13.5" customHeight="1">
      <c r="A394" s="165">
        <v>54</v>
      </c>
      <c r="B394" s="105" t="s">
        <v>54</v>
      </c>
      <c r="C394" s="97" t="s">
        <v>320</v>
      </c>
      <c r="D394" s="97" t="s">
        <v>321</v>
      </c>
      <c r="E394" s="97" t="s">
        <v>44</v>
      </c>
      <c r="F394" s="98">
        <f>F395</f>
        <v>30</v>
      </c>
      <c r="G394" s="98">
        <v>519</v>
      </c>
      <c r="H394" s="133">
        <f t="shared" ref="H394" si="1">F394*G394</f>
        <v>15570</v>
      </c>
      <c r="I394" s="196" t="s">
        <v>45</v>
      </c>
    </row>
    <row r="395" spans="1:18" s="100" customFormat="1" ht="13.5" customHeight="1">
      <c r="A395" s="197"/>
      <c r="B395" s="103"/>
      <c r="C395" s="103"/>
      <c r="D395" s="101" t="s">
        <v>334</v>
      </c>
      <c r="E395" s="103"/>
      <c r="F395" s="113">
        <v>30</v>
      </c>
      <c r="G395" s="104"/>
      <c r="H395" s="98"/>
      <c r="I395" s="109"/>
    </row>
    <row r="396" spans="1:18" s="100" customFormat="1" ht="24.75" customHeight="1">
      <c r="A396" s="197"/>
      <c r="B396" s="103"/>
      <c r="C396" s="103"/>
      <c r="D396" s="101" t="s">
        <v>67</v>
      </c>
      <c r="E396" s="103"/>
      <c r="F396" s="113"/>
      <c r="G396" s="104"/>
      <c r="H396" s="98"/>
      <c r="I396" s="109"/>
    </row>
    <row r="397" spans="1:18" s="100" customFormat="1" ht="13.5" customHeight="1">
      <c r="A397" s="146"/>
      <c r="B397" s="147"/>
      <c r="C397" s="147">
        <v>781</v>
      </c>
      <c r="D397" s="147" t="s">
        <v>100</v>
      </c>
      <c r="E397" s="147"/>
      <c r="F397" s="148"/>
      <c r="G397" s="149"/>
      <c r="H397" s="149">
        <f>SUM(H398:H411)</f>
        <v>145580</v>
      </c>
      <c r="I397" s="163"/>
      <c r="J397" s="598"/>
      <c r="L397" s="599"/>
    </row>
    <row r="398" spans="1:18" s="243" customFormat="1" ht="13.5" customHeight="1">
      <c r="A398" s="239">
        <v>55</v>
      </c>
      <c r="B398" s="240" t="s">
        <v>335</v>
      </c>
      <c r="C398" s="241" t="s">
        <v>336</v>
      </c>
      <c r="D398" s="241" t="s">
        <v>337</v>
      </c>
      <c r="E398" s="241" t="s">
        <v>23</v>
      </c>
      <c r="F398" s="236">
        <f>SUM(F399:F399)</f>
        <v>1</v>
      </c>
      <c r="G398" s="242">
        <v>135200</v>
      </c>
      <c r="H398" s="133">
        <f>F398*G398</f>
        <v>135200</v>
      </c>
      <c r="I398" s="99" t="s">
        <v>49</v>
      </c>
      <c r="J398" s="600"/>
      <c r="L398" s="601"/>
      <c r="M398" s="602"/>
    </row>
    <row r="399" spans="1:18" s="243" customFormat="1" ht="13.5" customHeight="1">
      <c r="A399" s="244"/>
      <c r="B399" s="245"/>
      <c r="C399" s="245"/>
      <c r="D399" s="179" t="s">
        <v>338</v>
      </c>
      <c r="E399" s="178"/>
      <c r="F399" s="246">
        <v>1</v>
      </c>
      <c r="G399" s="247"/>
      <c r="H399" s="247"/>
      <c r="I399" s="106"/>
      <c r="K399" s="620"/>
      <c r="L399" s="603"/>
      <c r="N399" s="604"/>
      <c r="R399" s="602"/>
    </row>
    <row r="400" spans="1:18" s="92" customFormat="1" ht="13.5" customHeight="1">
      <c r="A400" s="170"/>
      <c r="B400" s="89"/>
      <c r="C400" s="89"/>
      <c r="D400" s="80" t="s">
        <v>80</v>
      </c>
      <c r="E400" s="89"/>
      <c r="F400" s="142"/>
      <c r="G400" s="91"/>
      <c r="H400" s="91"/>
      <c r="I400" s="106"/>
      <c r="J400" s="249"/>
      <c r="L400" s="603"/>
      <c r="M400" s="243"/>
    </row>
    <row r="401" spans="1:18" s="112" customFormat="1" ht="13.5" customHeight="1">
      <c r="A401" s="171"/>
      <c r="B401" s="158"/>
      <c r="C401" s="158"/>
      <c r="D401" s="158" t="s">
        <v>339</v>
      </c>
      <c r="E401" s="158"/>
      <c r="F401" s="113"/>
      <c r="G401" s="172"/>
      <c r="H401" s="172"/>
      <c r="I401" s="99"/>
      <c r="J401" s="249"/>
      <c r="K401" s="620"/>
      <c r="L401" s="92"/>
      <c r="M401" s="92"/>
      <c r="N401" s="92"/>
    </row>
    <row r="402" spans="1:18" s="112" customFormat="1" ht="13.5" customHeight="1">
      <c r="A402" s="171"/>
      <c r="B402" s="158"/>
      <c r="C402" s="158"/>
      <c r="D402" s="158" t="s">
        <v>340</v>
      </c>
      <c r="E402" s="158"/>
      <c r="F402" s="113"/>
      <c r="G402" s="172"/>
      <c r="H402" s="172"/>
      <c r="I402" s="173"/>
      <c r="J402" s="249"/>
      <c r="K402" s="620"/>
      <c r="L402" s="92"/>
      <c r="M402" s="92"/>
      <c r="N402" s="92"/>
    </row>
    <row r="403" spans="1:18" s="112" customFormat="1" ht="13.5" customHeight="1">
      <c r="A403" s="171"/>
      <c r="B403" s="158"/>
      <c r="C403" s="158"/>
      <c r="D403" s="158" t="s">
        <v>341</v>
      </c>
      <c r="E403" s="158"/>
      <c r="F403" s="113"/>
      <c r="G403" s="172"/>
      <c r="H403" s="172"/>
      <c r="I403" s="173"/>
      <c r="J403" s="249"/>
      <c r="K403" s="620"/>
    </row>
    <row r="404" spans="1:18" s="112" customFormat="1" ht="13.5" customHeight="1">
      <c r="A404" s="171"/>
      <c r="B404" s="158"/>
      <c r="C404" s="158"/>
      <c r="D404" s="158" t="s">
        <v>342</v>
      </c>
      <c r="E404" s="158"/>
      <c r="F404" s="113"/>
      <c r="G404" s="172"/>
      <c r="H404" s="172"/>
      <c r="I404" s="173"/>
      <c r="J404" s="249"/>
      <c r="K404" s="620"/>
    </row>
    <row r="405" spans="1:18" s="112" customFormat="1" ht="13.5" customHeight="1">
      <c r="A405" s="171"/>
      <c r="B405" s="158"/>
      <c r="C405" s="158"/>
      <c r="D405" s="158" t="s">
        <v>343</v>
      </c>
      <c r="E405" s="158"/>
      <c r="F405" s="113"/>
      <c r="G405" s="172"/>
      <c r="H405" s="172"/>
      <c r="I405" s="253"/>
      <c r="J405" s="249"/>
      <c r="K405" s="620"/>
    </row>
    <row r="406" spans="1:18" s="112" customFormat="1" ht="13.5" customHeight="1">
      <c r="A406" s="171"/>
      <c r="B406" s="158"/>
      <c r="C406" s="158"/>
      <c r="D406" s="158" t="s">
        <v>344</v>
      </c>
      <c r="E406" s="158"/>
      <c r="F406" s="113"/>
      <c r="G406" s="172"/>
      <c r="H406" s="172"/>
      <c r="I406" s="173"/>
      <c r="J406" s="249"/>
      <c r="K406" s="620"/>
    </row>
    <row r="407" spans="1:18" s="112" customFormat="1" ht="13.5" customHeight="1">
      <c r="A407" s="171"/>
      <c r="B407" s="158"/>
      <c r="C407" s="158"/>
      <c r="D407" s="158" t="s">
        <v>345</v>
      </c>
      <c r="E407" s="158"/>
      <c r="F407" s="113"/>
      <c r="G407" s="172"/>
      <c r="H407" s="172"/>
      <c r="I407" s="173"/>
      <c r="J407" s="249"/>
      <c r="K407" s="243"/>
    </row>
    <row r="408" spans="1:18" s="112" customFormat="1" ht="13.5" customHeight="1">
      <c r="A408" s="171"/>
      <c r="B408" s="158"/>
      <c r="C408" s="158"/>
      <c r="D408" s="80" t="s">
        <v>346</v>
      </c>
      <c r="E408" s="158"/>
      <c r="F408" s="113"/>
      <c r="G408" s="172"/>
      <c r="H408" s="172"/>
      <c r="I408" s="173"/>
      <c r="J408" s="612"/>
      <c r="K408" s="100"/>
      <c r="L408" s="100"/>
      <c r="M408" s="100"/>
      <c r="N408" s="100"/>
    </row>
    <row r="409" spans="1:18" s="100" customFormat="1" ht="13.5" customHeight="1">
      <c r="A409" s="165">
        <v>56</v>
      </c>
      <c r="B409" s="97" t="s">
        <v>54</v>
      </c>
      <c r="C409" s="97" t="s">
        <v>347</v>
      </c>
      <c r="D409" s="97" t="s">
        <v>348</v>
      </c>
      <c r="E409" s="97" t="s">
        <v>44</v>
      </c>
      <c r="F409" s="236">
        <f>SUM(F410:F410)</f>
        <v>20</v>
      </c>
      <c r="G409" s="98">
        <v>519</v>
      </c>
      <c r="H409" s="133">
        <f>F409*G409</f>
        <v>10380</v>
      </c>
      <c r="I409" s="251" t="s">
        <v>45</v>
      </c>
      <c r="J409" s="621"/>
    </row>
    <row r="410" spans="1:18" s="100" customFormat="1" ht="13.5" customHeight="1">
      <c r="A410" s="197"/>
      <c r="B410" s="103"/>
      <c r="C410" s="103"/>
      <c r="D410" s="101" t="s">
        <v>349</v>
      </c>
      <c r="E410" s="103"/>
      <c r="F410" s="113">
        <v>20</v>
      </c>
      <c r="G410" s="104"/>
      <c r="H410" s="98"/>
      <c r="I410" s="109"/>
    </row>
    <row r="411" spans="1:18" s="100" customFormat="1" ht="13.5" customHeight="1">
      <c r="A411" s="197"/>
      <c r="B411" s="103"/>
      <c r="C411" s="103"/>
      <c r="D411" s="101" t="s">
        <v>64</v>
      </c>
      <c r="E411" s="103"/>
      <c r="F411" s="113"/>
      <c r="G411" s="104"/>
      <c r="H411" s="98"/>
      <c r="I411" s="109"/>
    </row>
    <row r="412" spans="1:18" s="100" customFormat="1" ht="13.5" customHeight="1">
      <c r="A412" s="146"/>
      <c r="B412" s="147"/>
      <c r="C412" s="147">
        <v>784</v>
      </c>
      <c r="D412" s="147" t="s">
        <v>101</v>
      </c>
      <c r="E412" s="147"/>
      <c r="F412" s="148"/>
      <c r="G412" s="149"/>
      <c r="H412" s="149">
        <f>SUM(H413:H425)</f>
        <v>1162615.28</v>
      </c>
      <c r="I412" s="163"/>
      <c r="J412" s="598"/>
      <c r="L412" s="599"/>
    </row>
    <row r="413" spans="1:18" s="243" customFormat="1" ht="13.5" customHeight="1">
      <c r="A413" s="239">
        <v>57</v>
      </c>
      <c r="B413" s="240" t="s">
        <v>350</v>
      </c>
      <c r="C413" s="241" t="s">
        <v>351</v>
      </c>
      <c r="D413" s="241" t="s">
        <v>352</v>
      </c>
      <c r="E413" s="241" t="s">
        <v>48</v>
      </c>
      <c r="F413" s="236">
        <f>SUM(F414:F414)</f>
        <v>4138.28</v>
      </c>
      <c r="G413" s="242">
        <v>276</v>
      </c>
      <c r="H413" s="133">
        <f>F413*G413</f>
        <v>1142165.28</v>
      </c>
      <c r="I413" s="99" t="s">
        <v>49</v>
      </c>
      <c r="J413" s="249"/>
    </row>
    <row r="414" spans="1:18" s="243" customFormat="1" ht="13.5" customHeight="1">
      <c r="A414" s="244"/>
      <c r="B414" s="245"/>
      <c r="C414" s="245"/>
      <c r="D414" s="179" t="s">
        <v>572</v>
      </c>
      <c r="E414" s="178"/>
      <c r="F414" s="113">
        <f>804.3+453.3+453.3+528.3+692.4+288.89+232.31+232.4+230.08+223</f>
        <v>4138.28</v>
      </c>
      <c r="G414" s="247"/>
      <c r="H414" s="247"/>
      <c r="I414" s="106"/>
      <c r="J414" s="249"/>
      <c r="L414" s="92"/>
      <c r="M414" s="92"/>
      <c r="N414" s="604"/>
      <c r="R414" s="602"/>
    </row>
    <row r="415" spans="1:18" s="92" customFormat="1" ht="13.5" customHeight="1">
      <c r="A415" s="170"/>
      <c r="B415" s="89"/>
      <c r="C415" s="89"/>
      <c r="D415" s="80" t="s">
        <v>80</v>
      </c>
      <c r="E415" s="89"/>
      <c r="F415" s="142"/>
      <c r="G415" s="91"/>
      <c r="H415" s="91"/>
      <c r="I415" s="106"/>
      <c r="J415" s="249"/>
      <c r="K415" s="243"/>
      <c r="L415" s="601"/>
      <c r="N415" s="112"/>
    </row>
    <row r="416" spans="1:18" s="112" customFormat="1" ht="13.5" customHeight="1">
      <c r="A416" s="171"/>
      <c r="B416" s="158"/>
      <c r="C416" s="158"/>
      <c r="D416" s="158" t="s">
        <v>353</v>
      </c>
      <c r="E416" s="158"/>
      <c r="F416" s="113"/>
      <c r="G416" s="172"/>
      <c r="H416" s="172"/>
      <c r="I416" s="106"/>
      <c r="J416" s="249"/>
      <c r="K416" s="243"/>
    </row>
    <row r="417" spans="1:47" s="112" customFormat="1" ht="13.5" customHeight="1">
      <c r="A417" s="171"/>
      <c r="B417" s="158"/>
      <c r="C417" s="158"/>
      <c r="D417" s="158" t="s">
        <v>354</v>
      </c>
      <c r="E417" s="158"/>
      <c r="F417" s="113"/>
      <c r="G417" s="172"/>
      <c r="H417" s="172"/>
      <c r="I417" s="173"/>
      <c r="J417" s="249"/>
      <c r="K417" s="243"/>
    </row>
    <row r="418" spans="1:47" s="112" customFormat="1" ht="13.5" customHeight="1">
      <c r="A418" s="171"/>
      <c r="B418" s="158"/>
      <c r="C418" s="158"/>
      <c r="D418" s="158" t="s">
        <v>355</v>
      </c>
      <c r="E418" s="158"/>
      <c r="F418" s="113"/>
      <c r="G418" s="172"/>
      <c r="H418" s="172"/>
      <c r="I418" s="173"/>
      <c r="J418" s="249"/>
      <c r="K418" s="243"/>
    </row>
    <row r="419" spans="1:47" s="112" customFormat="1" ht="13.5" customHeight="1">
      <c r="A419" s="171"/>
      <c r="B419" s="158"/>
      <c r="C419" s="158"/>
      <c r="D419" s="158" t="s">
        <v>356</v>
      </c>
      <c r="E419" s="158"/>
      <c r="F419" s="113"/>
      <c r="G419" s="172"/>
      <c r="H419" s="172"/>
      <c r="I419" s="173"/>
      <c r="J419" s="249"/>
      <c r="K419" s="243"/>
    </row>
    <row r="420" spans="1:47" s="112" customFormat="1" ht="13.5" customHeight="1">
      <c r="A420" s="171"/>
      <c r="B420" s="158"/>
      <c r="C420" s="158"/>
      <c r="D420" s="158" t="s">
        <v>357</v>
      </c>
      <c r="E420" s="158"/>
      <c r="F420" s="113"/>
      <c r="G420" s="172"/>
      <c r="H420" s="172"/>
      <c r="I420" s="173"/>
      <c r="J420" s="249"/>
      <c r="K420" s="243"/>
    </row>
    <row r="421" spans="1:47" s="112" customFormat="1" ht="13.5" customHeight="1">
      <c r="A421" s="171"/>
      <c r="B421" s="158"/>
      <c r="C421" s="158"/>
      <c r="D421" s="158" t="s">
        <v>358</v>
      </c>
      <c r="E421" s="158"/>
      <c r="F421" s="113"/>
      <c r="G421" s="172"/>
      <c r="H421" s="172"/>
      <c r="I421" s="173"/>
      <c r="J421" s="249"/>
      <c r="K421" s="243"/>
    </row>
    <row r="422" spans="1:47" s="112" customFormat="1" ht="13.5" customHeight="1">
      <c r="A422" s="171"/>
      <c r="B422" s="158"/>
      <c r="C422" s="158"/>
      <c r="D422" s="80" t="s">
        <v>359</v>
      </c>
      <c r="E422" s="158"/>
      <c r="F422" s="113"/>
      <c r="G422" s="172"/>
      <c r="H422" s="172"/>
      <c r="I422" s="173"/>
      <c r="J422" s="559"/>
      <c r="L422" s="622"/>
    </row>
    <row r="423" spans="1:47" s="100" customFormat="1" ht="13.5" customHeight="1">
      <c r="A423" s="165">
        <v>58</v>
      </c>
      <c r="B423" s="97" t="s">
        <v>54</v>
      </c>
      <c r="C423" s="97" t="s">
        <v>68</v>
      </c>
      <c r="D423" s="97" t="s">
        <v>69</v>
      </c>
      <c r="E423" s="97" t="s">
        <v>44</v>
      </c>
      <c r="F423" s="254">
        <f>F424</f>
        <v>50</v>
      </c>
      <c r="G423" s="98">
        <v>409</v>
      </c>
      <c r="H423" s="133">
        <f>F423*G423</f>
        <v>20450</v>
      </c>
      <c r="I423" s="99" t="s">
        <v>45</v>
      </c>
    </row>
    <row r="424" spans="1:47" s="100" customFormat="1" ht="13.5" customHeight="1">
      <c r="A424" s="197"/>
      <c r="B424" s="103"/>
      <c r="C424" s="103"/>
      <c r="D424" s="101" t="s">
        <v>349</v>
      </c>
      <c r="E424" s="103"/>
      <c r="F424" s="113">
        <v>50</v>
      </c>
      <c r="G424" s="104"/>
      <c r="H424" s="98"/>
      <c r="I424" s="109"/>
    </row>
    <row r="425" spans="1:47" s="100" customFormat="1" ht="13.5" customHeight="1">
      <c r="A425" s="197"/>
      <c r="B425" s="103"/>
      <c r="C425" s="103"/>
      <c r="D425" s="101" t="s">
        <v>64</v>
      </c>
      <c r="E425" s="103"/>
      <c r="F425" s="113"/>
      <c r="G425" s="104"/>
      <c r="H425" s="98"/>
      <c r="I425" s="109"/>
    </row>
    <row r="426" spans="1:47" s="463" customFormat="1" ht="13.5" customHeight="1">
      <c r="A426" s="255"/>
      <c r="B426" s="183"/>
      <c r="C426" s="460">
        <v>790</v>
      </c>
      <c r="D426" s="460" t="s">
        <v>102</v>
      </c>
      <c r="E426" s="461"/>
      <c r="F426" s="462"/>
      <c r="G426" s="256"/>
      <c r="H426" s="462">
        <f>SUM(H427:H431)</f>
        <v>117900</v>
      </c>
      <c r="I426" s="257"/>
    </row>
    <row r="427" spans="1:47" s="100" customFormat="1" ht="27" customHeight="1">
      <c r="A427" s="192">
        <v>59</v>
      </c>
      <c r="B427" s="464">
        <v>790</v>
      </c>
      <c r="C427" s="97" t="s">
        <v>360</v>
      </c>
      <c r="D427" s="73" t="s">
        <v>361</v>
      </c>
      <c r="E427" s="193" t="s">
        <v>23</v>
      </c>
      <c r="F427" s="465">
        <f>SUM(F428)</f>
        <v>1</v>
      </c>
      <c r="G427" s="106">
        <v>110000</v>
      </c>
      <c r="H427" s="133">
        <f>F427*G427</f>
        <v>110000</v>
      </c>
      <c r="I427" s="99" t="s">
        <v>49</v>
      </c>
      <c r="J427" s="562"/>
      <c r="L427" s="623"/>
    </row>
    <row r="428" spans="1:47" s="100" customFormat="1" ht="13.5" customHeight="1">
      <c r="A428" s="192"/>
      <c r="B428" s="105"/>
      <c r="C428" s="97"/>
      <c r="D428" s="101" t="s">
        <v>362</v>
      </c>
      <c r="E428" s="193"/>
      <c r="F428" s="113">
        <v>1</v>
      </c>
      <c r="G428" s="106"/>
      <c r="H428" s="381"/>
      <c r="I428" s="99"/>
      <c r="J428" s="564"/>
    </row>
    <row r="429" spans="1:47" s="100" customFormat="1" ht="216" customHeight="1">
      <c r="A429" s="192"/>
      <c r="B429" s="105"/>
      <c r="C429" s="97"/>
      <c r="D429" s="195" t="s">
        <v>363</v>
      </c>
      <c r="E429" s="193"/>
      <c r="F429" s="113"/>
      <c r="G429" s="106"/>
      <c r="H429" s="381"/>
      <c r="I429" s="99"/>
      <c r="J429" s="624"/>
    </row>
    <row r="430" spans="1:47" s="94" customFormat="1" ht="13.5" customHeight="1">
      <c r="A430" s="466">
        <v>60</v>
      </c>
      <c r="B430" s="467" t="s">
        <v>54</v>
      </c>
      <c r="C430" s="467" t="s">
        <v>62</v>
      </c>
      <c r="D430" s="467" t="s">
        <v>63</v>
      </c>
      <c r="E430" s="467" t="s">
        <v>44</v>
      </c>
      <c r="F430" s="468">
        <f>F431</f>
        <v>20</v>
      </c>
      <c r="G430" s="256">
        <v>395</v>
      </c>
      <c r="H430" s="133">
        <f>F430*G430</f>
        <v>7900</v>
      </c>
      <c r="I430" s="469" t="s">
        <v>45</v>
      </c>
      <c r="J430" s="625"/>
      <c r="K430" s="258"/>
      <c r="L430" s="258"/>
      <c r="M430" s="258"/>
      <c r="N430" s="258"/>
      <c r="O430" s="258"/>
      <c r="P430" s="258"/>
      <c r="Q430" s="258"/>
      <c r="R430" s="626"/>
      <c r="S430" s="258"/>
      <c r="T430" s="258"/>
      <c r="U430" s="258"/>
      <c r="V430" s="258"/>
      <c r="W430" s="258"/>
      <c r="X430" s="258"/>
      <c r="Y430" s="258"/>
      <c r="Z430" s="258"/>
      <c r="AA430" s="258"/>
      <c r="AB430" s="258"/>
      <c r="AC430" s="258"/>
      <c r="AD430" s="258"/>
      <c r="AE430" s="258"/>
      <c r="AF430" s="258"/>
      <c r="AG430" s="258"/>
      <c r="AH430" s="258"/>
      <c r="AI430" s="258"/>
      <c r="AJ430" s="258"/>
      <c r="AK430" s="258"/>
      <c r="AL430" s="258"/>
      <c r="AM430" s="258"/>
      <c r="AN430" s="258"/>
      <c r="AO430" s="258"/>
      <c r="AP430" s="258"/>
      <c r="AQ430" s="258"/>
      <c r="AR430" s="258"/>
      <c r="AS430" s="258"/>
      <c r="AT430" s="258"/>
      <c r="AU430" s="258"/>
    </row>
    <row r="431" spans="1:47" s="94" customFormat="1" ht="13.5" customHeight="1">
      <c r="A431" s="470"/>
      <c r="B431" s="471"/>
      <c r="C431" s="471"/>
      <c r="D431" s="472" t="s">
        <v>364</v>
      </c>
      <c r="E431" s="471"/>
      <c r="F431" s="473">
        <v>20</v>
      </c>
      <c r="G431" s="256"/>
      <c r="H431" s="256"/>
      <c r="I431" s="469"/>
      <c r="J431" s="625"/>
      <c r="K431" s="258"/>
      <c r="L431" s="258"/>
      <c r="M431" s="258"/>
      <c r="N431" s="258"/>
      <c r="O431" s="258"/>
      <c r="P431" s="258"/>
      <c r="Q431" s="258"/>
      <c r="R431" s="626"/>
      <c r="S431" s="258"/>
      <c r="T431" s="258"/>
      <c r="U431" s="258"/>
      <c r="V431" s="258"/>
      <c r="W431" s="258"/>
      <c r="X431" s="258"/>
      <c r="Y431" s="258"/>
      <c r="Z431" s="258"/>
      <c r="AA431" s="258"/>
      <c r="AB431" s="258"/>
      <c r="AC431" s="258"/>
      <c r="AD431" s="258"/>
      <c r="AE431" s="258"/>
      <c r="AF431" s="258"/>
      <c r="AG431" s="258"/>
      <c r="AH431" s="258"/>
      <c r="AI431" s="258"/>
      <c r="AJ431" s="258"/>
      <c r="AK431" s="258"/>
      <c r="AL431" s="258"/>
      <c r="AM431" s="258"/>
      <c r="AN431" s="258"/>
      <c r="AO431" s="258"/>
      <c r="AP431" s="258"/>
      <c r="AQ431" s="258"/>
      <c r="AR431" s="258"/>
      <c r="AS431" s="258"/>
      <c r="AT431" s="258"/>
      <c r="AU431" s="258"/>
    </row>
    <row r="432" spans="1:47" s="100" customFormat="1" ht="21" customHeight="1">
      <c r="A432" s="146"/>
      <c r="B432" s="174"/>
      <c r="C432" s="147" t="s">
        <v>70</v>
      </c>
      <c r="D432" s="147" t="s">
        <v>71</v>
      </c>
      <c r="E432" s="147"/>
      <c r="F432" s="148"/>
      <c r="G432" s="149"/>
      <c r="H432" s="149">
        <f>H433</f>
        <v>924850</v>
      </c>
      <c r="I432" s="109"/>
      <c r="J432" s="537"/>
      <c r="K432" s="538"/>
      <c r="L432" s="538"/>
      <c r="M432" s="537"/>
      <c r="N432" s="539"/>
    </row>
    <row r="433" spans="1:14" s="116" customFormat="1" ht="13.5" customHeight="1">
      <c r="A433" s="146"/>
      <c r="B433" s="147"/>
      <c r="C433" s="147" t="s">
        <v>103</v>
      </c>
      <c r="D433" s="147" t="s">
        <v>104</v>
      </c>
      <c r="E433" s="147"/>
      <c r="F433" s="148"/>
      <c r="G433" s="149"/>
      <c r="H433" s="149">
        <f>SUM(H434:H443)</f>
        <v>924850</v>
      </c>
      <c r="I433" s="109"/>
      <c r="J433" s="537"/>
      <c r="K433" s="538"/>
      <c r="L433" s="538"/>
      <c r="M433" s="537"/>
      <c r="N433" s="539"/>
    </row>
    <row r="434" spans="1:14" s="116" customFormat="1" ht="13.5" customHeight="1">
      <c r="A434" s="96">
        <v>61</v>
      </c>
      <c r="B434" s="105" t="s">
        <v>365</v>
      </c>
      <c r="C434" s="97" t="s">
        <v>366</v>
      </c>
      <c r="D434" s="97" t="s">
        <v>367</v>
      </c>
      <c r="E434" s="97" t="s">
        <v>23</v>
      </c>
      <c r="F434" s="98">
        <f>SUM(F436:F436)</f>
        <v>1</v>
      </c>
      <c r="G434" s="106">
        <v>900000</v>
      </c>
      <c r="H434" s="133">
        <f>F434*G434</f>
        <v>900000</v>
      </c>
      <c r="I434" s="99" t="s">
        <v>49</v>
      </c>
      <c r="J434" s="537"/>
      <c r="K434" s="538"/>
      <c r="L434" s="538"/>
      <c r="M434" s="537"/>
      <c r="N434" s="539"/>
    </row>
    <row r="435" spans="1:14" s="116" customFormat="1" ht="13.5" customHeight="1">
      <c r="A435" s="96"/>
      <c r="B435" s="105"/>
      <c r="C435" s="97"/>
      <c r="D435" s="101" t="s">
        <v>368</v>
      </c>
      <c r="E435" s="97"/>
      <c r="F435" s="98"/>
      <c r="G435" s="106"/>
      <c r="H435" s="106"/>
      <c r="I435" s="99"/>
      <c r="J435" s="537"/>
      <c r="K435" s="538"/>
      <c r="L435" s="538"/>
      <c r="M435" s="537"/>
      <c r="N435" s="539"/>
    </row>
    <row r="436" spans="1:14" s="116" customFormat="1" ht="13.5" customHeight="1">
      <c r="A436" s="96"/>
      <c r="B436" s="105"/>
      <c r="C436" s="97"/>
      <c r="D436" s="101" t="s">
        <v>369</v>
      </c>
      <c r="E436" s="97"/>
      <c r="F436" s="113">
        <v>1</v>
      </c>
      <c r="G436" s="106"/>
      <c r="H436" s="106"/>
      <c r="I436" s="150"/>
      <c r="J436" s="537"/>
      <c r="K436" s="538"/>
      <c r="L436" s="538"/>
      <c r="M436" s="537"/>
      <c r="N436" s="539"/>
    </row>
    <row r="437" spans="1:14" s="116" customFormat="1" ht="40.5" customHeight="1">
      <c r="A437" s="96"/>
      <c r="B437" s="105"/>
      <c r="C437" s="97"/>
      <c r="D437" s="101" t="s">
        <v>370</v>
      </c>
      <c r="E437" s="97"/>
      <c r="F437" s="113"/>
      <c r="G437" s="106"/>
      <c r="H437" s="106"/>
      <c r="I437" s="150"/>
      <c r="J437" s="537"/>
      <c r="K437" s="538"/>
      <c r="L437" s="538"/>
      <c r="M437" s="537"/>
      <c r="N437" s="539"/>
    </row>
    <row r="438" spans="1:14" s="116" customFormat="1" ht="27" customHeight="1">
      <c r="A438" s="96"/>
      <c r="B438" s="105"/>
      <c r="C438" s="97"/>
      <c r="D438" s="101" t="s">
        <v>371</v>
      </c>
      <c r="E438" s="97"/>
      <c r="F438" s="113"/>
      <c r="G438" s="106"/>
      <c r="H438" s="106"/>
      <c r="I438" s="150"/>
      <c r="J438" s="537"/>
      <c r="K438" s="538"/>
      <c r="L438" s="538"/>
      <c r="M438" s="537"/>
      <c r="N438" s="539"/>
    </row>
    <row r="439" spans="1:14" s="116" customFormat="1" ht="27" customHeight="1">
      <c r="A439" s="96"/>
      <c r="B439" s="105"/>
      <c r="C439" s="97"/>
      <c r="D439" s="101" t="s">
        <v>372</v>
      </c>
      <c r="E439" s="97"/>
      <c r="F439" s="113"/>
      <c r="G439" s="106"/>
      <c r="H439" s="106"/>
      <c r="I439" s="150"/>
      <c r="J439" s="537"/>
      <c r="K439" s="538"/>
      <c r="L439" s="538"/>
      <c r="M439" s="537"/>
      <c r="N439" s="539"/>
    </row>
    <row r="440" spans="1:14" s="116" customFormat="1" ht="26.25" customHeight="1">
      <c r="A440" s="96"/>
      <c r="B440" s="105"/>
      <c r="C440" s="97"/>
      <c r="D440" s="101" t="s">
        <v>373</v>
      </c>
      <c r="E440" s="97"/>
      <c r="F440" s="113"/>
      <c r="G440" s="106"/>
      <c r="H440" s="106"/>
      <c r="I440" s="150"/>
      <c r="J440" s="537"/>
      <c r="K440" s="538"/>
      <c r="L440" s="538"/>
      <c r="M440" s="537"/>
      <c r="N440" s="539"/>
    </row>
    <row r="441" spans="1:14" s="116" customFormat="1" ht="13.5" customHeight="1">
      <c r="A441" s="96">
        <v>62</v>
      </c>
      <c r="B441" s="97" t="s">
        <v>54</v>
      </c>
      <c r="C441" s="97" t="s">
        <v>374</v>
      </c>
      <c r="D441" s="97" t="s">
        <v>375</v>
      </c>
      <c r="E441" s="97" t="s">
        <v>44</v>
      </c>
      <c r="F441" s="98">
        <f>F442</f>
        <v>50</v>
      </c>
      <c r="G441" s="106">
        <v>497</v>
      </c>
      <c r="H441" s="133">
        <f>F441*G441</f>
        <v>24850</v>
      </c>
      <c r="I441" s="99" t="s">
        <v>45</v>
      </c>
      <c r="J441" s="537"/>
      <c r="K441" s="538"/>
      <c r="L441" s="538"/>
      <c r="M441" s="537"/>
      <c r="N441" s="539"/>
    </row>
    <row r="442" spans="1:14" s="116" customFormat="1" ht="13.5" customHeight="1">
      <c r="A442" s="102"/>
      <c r="B442" s="103"/>
      <c r="C442" s="103"/>
      <c r="D442" s="101" t="s">
        <v>376</v>
      </c>
      <c r="E442" s="103"/>
      <c r="F442" s="113">
        <v>50</v>
      </c>
      <c r="G442" s="110"/>
      <c r="H442" s="106"/>
      <c r="I442" s="109"/>
      <c r="J442" s="537"/>
      <c r="K442" s="538"/>
      <c r="L442" s="538"/>
      <c r="M442" s="537"/>
      <c r="N442" s="539"/>
    </row>
    <row r="443" spans="1:14" s="116" customFormat="1" ht="13.5" customHeight="1">
      <c r="A443" s="102"/>
      <c r="B443" s="103"/>
      <c r="C443" s="103"/>
      <c r="D443" s="101" t="s">
        <v>64</v>
      </c>
      <c r="E443" s="103"/>
      <c r="F443" s="113"/>
      <c r="G443" s="110"/>
      <c r="H443" s="106"/>
      <c r="I443" s="109"/>
      <c r="J443" s="537"/>
      <c r="K443" s="538"/>
      <c r="L443" s="538"/>
      <c r="M443" s="100"/>
      <c r="N443" s="539"/>
    </row>
    <row r="444" spans="1:14" s="100" customFormat="1" ht="21" customHeight="1">
      <c r="A444" s="259"/>
      <c r="B444" s="260"/>
      <c r="C444" s="260"/>
      <c r="D444" s="260" t="s">
        <v>0</v>
      </c>
      <c r="E444" s="260"/>
      <c r="F444" s="261"/>
      <c r="G444" s="262"/>
      <c r="H444" s="262">
        <f>H432+H8+H142</f>
        <v>34829148.908000007</v>
      </c>
      <c r="I444" s="271"/>
      <c r="J444" s="114"/>
      <c r="K444" s="114"/>
      <c r="L444" s="114"/>
      <c r="M444" s="114"/>
      <c r="N444" s="114"/>
    </row>
    <row r="445" spans="1:14" s="100" customFormat="1" ht="12" customHeight="1">
      <c r="A445" s="263"/>
      <c r="B445" s="264"/>
      <c r="C445" s="264"/>
      <c r="D445" s="264"/>
      <c r="E445" s="264"/>
      <c r="F445" s="265"/>
      <c r="G445" s="266"/>
      <c r="H445" s="266"/>
      <c r="J445" s="627"/>
      <c r="K445" s="114"/>
      <c r="L445" s="114"/>
      <c r="M445" s="114"/>
      <c r="N445" s="114"/>
    </row>
    <row r="446" spans="1:14" s="100" customFormat="1" ht="13.5" customHeight="1">
      <c r="A446" s="677" t="s">
        <v>65</v>
      </c>
      <c r="B446" s="678"/>
      <c r="C446" s="679"/>
      <c r="D446" s="267" t="s">
        <v>511</v>
      </c>
      <c r="E446" s="268"/>
      <c r="F446" s="269"/>
      <c r="G446" s="270"/>
      <c r="H446" s="383">
        <f>H444</f>
        <v>34829148.908000007</v>
      </c>
      <c r="J446" s="114"/>
      <c r="K446" s="114"/>
      <c r="L446" s="114"/>
      <c r="M446" s="114"/>
      <c r="N446" s="114"/>
    </row>
    <row r="447" spans="1:14" s="51" customFormat="1">
      <c r="A447" s="51" t="s">
        <v>1</v>
      </c>
      <c r="J447" s="114"/>
      <c r="K447" s="114"/>
      <c r="L447" s="114"/>
      <c r="M447" s="114"/>
      <c r="N447" s="114"/>
    </row>
    <row r="448" spans="1:14" s="100" customFormat="1" ht="23.4" customHeight="1">
      <c r="A448" s="672" t="s">
        <v>66</v>
      </c>
      <c r="B448" s="680"/>
      <c r="C448" s="680"/>
      <c r="D448" s="680"/>
      <c r="E448" s="680"/>
      <c r="F448" s="680"/>
      <c r="G448" s="680"/>
      <c r="H448" s="51"/>
      <c r="J448" s="114"/>
      <c r="K448" s="114"/>
      <c r="L448" s="114"/>
      <c r="M448" s="114"/>
      <c r="N448" s="114"/>
    </row>
    <row r="449" spans="1:14" s="51" customFormat="1" ht="93.75" customHeight="1">
      <c r="A449" s="672" t="s">
        <v>24</v>
      </c>
      <c r="B449" s="681"/>
      <c r="C449" s="681"/>
      <c r="D449" s="681"/>
      <c r="E449" s="681"/>
      <c r="F449" s="681"/>
      <c r="G449" s="681"/>
      <c r="J449" s="114"/>
      <c r="K449" s="114"/>
      <c r="L449" s="114"/>
      <c r="M449" s="114"/>
      <c r="N449" s="114"/>
    </row>
    <row r="450" spans="1:14" s="111" customFormat="1" ht="13.5" customHeight="1">
      <c r="A450" s="672" t="s">
        <v>25</v>
      </c>
      <c r="B450" s="673"/>
      <c r="C450" s="673"/>
      <c r="D450" s="673"/>
      <c r="E450" s="673"/>
      <c r="F450" s="673"/>
      <c r="G450" s="673"/>
      <c r="H450" s="65"/>
      <c r="I450" s="65"/>
      <c r="J450" s="114"/>
      <c r="K450" s="114"/>
      <c r="L450" s="114"/>
      <c r="M450" s="114"/>
      <c r="N450" s="114"/>
    </row>
    <row r="451" spans="1:14" s="111" customFormat="1" ht="13.5" customHeight="1">
      <c r="A451" s="672" t="s">
        <v>26</v>
      </c>
      <c r="B451" s="673"/>
      <c r="C451" s="673"/>
      <c r="D451" s="673"/>
      <c r="E451" s="673"/>
      <c r="F451" s="673"/>
      <c r="G451" s="673"/>
      <c r="H451" s="65"/>
      <c r="I451" s="65"/>
      <c r="J451" s="114"/>
      <c r="K451" s="114"/>
      <c r="L451" s="114"/>
      <c r="M451" s="114"/>
      <c r="N451" s="114"/>
    </row>
    <row r="452" spans="1:14" s="117" customFormat="1" ht="13.5" customHeight="1">
      <c r="A452" s="674"/>
      <c r="B452" s="674"/>
      <c r="C452" s="674"/>
      <c r="D452" s="674"/>
      <c r="E452" s="674"/>
      <c r="F452" s="674"/>
      <c r="G452" s="674"/>
      <c r="H452" s="216"/>
    </row>
    <row r="453" spans="1:14" s="95" customFormat="1" ht="13.5" customHeight="1">
      <c r="A453" s="674"/>
      <c r="B453" s="674"/>
      <c r="C453" s="674"/>
      <c r="D453" s="674"/>
      <c r="E453" s="674"/>
      <c r="F453" s="674"/>
      <c r="G453" s="674"/>
    </row>
  </sheetData>
  <mergeCells count="8">
    <mergeCell ref="A450:G450"/>
    <mergeCell ref="A451:G451"/>
    <mergeCell ref="A452:G452"/>
    <mergeCell ref="A453:G453"/>
    <mergeCell ref="A2:I2"/>
    <mergeCell ref="A446:C446"/>
    <mergeCell ref="A448:G448"/>
    <mergeCell ref="A449:G44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0" fitToHeight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3D66E-1C01-44AE-820D-2E9B160790C9}">
  <sheetPr>
    <pageSetUpPr fitToPage="1"/>
  </sheetPr>
  <dimension ref="A1:IV265"/>
  <sheetViews>
    <sheetView zoomScaleNormal="100" workbookViewId="0"/>
  </sheetViews>
  <sheetFormatPr defaultColWidth="9.28515625" defaultRowHeight="14.4"/>
  <cols>
    <col min="1" max="2" width="5.42578125" style="114" customWidth="1"/>
    <col min="3" max="3" width="15.28515625" style="114" customWidth="1"/>
    <col min="4" max="4" width="75.42578125" style="114" customWidth="1"/>
    <col min="5" max="5" width="7.7109375" style="114" customWidth="1"/>
    <col min="6" max="6" width="11.7109375" style="114" customWidth="1"/>
    <col min="7" max="7" width="12.85546875" style="114" customWidth="1"/>
    <col min="8" max="8" width="18.85546875" style="114" customWidth="1"/>
    <col min="9" max="9" width="19.7109375" style="114" customWidth="1"/>
    <col min="10" max="10" width="18.140625" style="100" customWidth="1"/>
    <col min="11" max="11" width="19" style="114" customWidth="1"/>
    <col min="12" max="12" width="17.28515625" style="114" customWidth="1"/>
    <col min="13" max="13" width="13.7109375" style="114" customWidth="1"/>
    <col min="14" max="14" width="16.28515625" style="114" customWidth="1"/>
    <col min="15" max="17" width="9.28515625" style="114"/>
    <col min="18" max="18" width="13.28515625" style="114" bestFit="1" customWidth="1"/>
    <col min="19" max="19" width="16.28515625" style="114" customWidth="1"/>
    <col min="20" max="20" width="9.28515625" style="114"/>
    <col min="21" max="21" width="11.42578125" style="114" bestFit="1" customWidth="1"/>
    <col min="22" max="16384" width="9.28515625" style="114"/>
  </cols>
  <sheetData>
    <row r="1" spans="1:40" s="100" customFormat="1" ht="20.25" customHeight="1">
      <c r="A1" s="393" t="s">
        <v>30</v>
      </c>
      <c r="B1" s="376"/>
      <c r="C1" s="376"/>
      <c r="D1" s="376"/>
      <c r="E1" s="376"/>
      <c r="F1" s="376"/>
      <c r="G1" s="376"/>
      <c r="I1" s="394"/>
    </row>
    <row r="2" spans="1:40" ht="13.5" customHeight="1">
      <c r="A2" s="675" t="s">
        <v>504</v>
      </c>
      <c r="B2" s="676"/>
      <c r="C2" s="676"/>
      <c r="D2" s="676"/>
      <c r="E2" s="676"/>
      <c r="F2" s="676"/>
      <c r="G2" s="676"/>
      <c r="H2" s="676"/>
      <c r="I2" s="676"/>
    </row>
    <row r="3" spans="1:40" ht="13.5" customHeight="1">
      <c r="A3" s="395" t="s">
        <v>505</v>
      </c>
      <c r="B3" s="396"/>
      <c r="C3" s="396"/>
      <c r="D3" s="396"/>
      <c r="E3" s="396"/>
      <c r="F3" s="376"/>
      <c r="G3" s="376"/>
      <c r="H3" s="100"/>
      <c r="I3" s="100"/>
    </row>
    <row r="4" spans="1:40" ht="13.5" customHeight="1">
      <c r="A4" s="397" t="s">
        <v>506</v>
      </c>
      <c r="B4" s="375"/>
      <c r="C4" s="375"/>
      <c r="D4" s="375"/>
      <c r="E4" s="375"/>
      <c r="F4" s="375"/>
      <c r="G4" s="375"/>
      <c r="H4" s="375"/>
      <c r="I4" s="375"/>
    </row>
    <row r="5" spans="1:40" s="100" customFormat="1" ht="12.75" customHeight="1">
      <c r="A5" s="396"/>
      <c r="B5" s="396"/>
      <c r="C5" s="396"/>
      <c r="D5" s="398"/>
      <c r="E5" s="396"/>
      <c r="F5" s="399"/>
      <c r="G5" s="376"/>
      <c r="H5" s="376"/>
    </row>
    <row r="6" spans="1:40" ht="33.15" customHeight="1">
      <c r="A6" s="119" t="s">
        <v>31</v>
      </c>
      <c r="B6" s="119" t="s">
        <v>32</v>
      </c>
      <c r="C6" s="119" t="s">
        <v>33</v>
      </c>
      <c r="D6" s="119" t="s">
        <v>34</v>
      </c>
      <c r="E6" s="119" t="s">
        <v>35</v>
      </c>
      <c r="F6" s="119" t="s">
        <v>36</v>
      </c>
      <c r="G6" s="119" t="s">
        <v>37</v>
      </c>
      <c r="H6" s="119" t="s">
        <v>475</v>
      </c>
      <c r="I6" s="119" t="s">
        <v>22</v>
      </c>
      <c r="K6" s="120"/>
      <c r="L6" s="522"/>
      <c r="M6" s="522"/>
      <c r="N6" s="522"/>
      <c r="O6" s="522"/>
    </row>
    <row r="7" spans="1:40" ht="15.6">
      <c r="A7" s="119" t="s">
        <v>38</v>
      </c>
      <c r="B7" s="119" t="s">
        <v>39</v>
      </c>
      <c r="C7" s="119" t="s">
        <v>72</v>
      </c>
      <c r="D7" s="119" t="s">
        <v>73</v>
      </c>
      <c r="E7" s="119" t="s">
        <v>74</v>
      </c>
      <c r="F7" s="119" t="s">
        <v>75</v>
      </c>
      <c r="G7" s="119" t="s">
        <v>76</v>
      </c>
      <c r="H7" s="119" t="s">
        <v>77</v>
      </c>
      <c r="I7" s="119">
        <v>9</v>
      </c>
      <c r="K7" s="523"/>
      <c r="L7" s="522"/>
      <c r="O7" s="524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525"/>
      <c r="AJ7" s="100"/>
      <c r="AK7" s="526"/>
      <c r="AL7" s="100"/>
      <c r="AM7" s="100"/>
      <c r="AN7" s="100"/>
    </row>
    <row r="8" spans="1:40" s="100" customFormat="1" ht="21" customHeight="1">
      <c r="A8" s="121"/>
      <c r="B8" s="122"/>
      <c r="C8" s="122" t="s">
        <v>40</v>
      </c>
      <c r="D8" s="122" t="s">
        <v>41</v>
      </c>
      <c r="E8" s="122"/>
      <c r="F8" s="123"/>
      <c r="G8" s="124"/>
      <c r="H8" s="377">
        <f>H9+H22+H33+H70+H105</f>
        <v>2069624.7950000002</v>
      </c>
      <c r="I8" s="118"/>
      <c r="K8" s="528"/>
      <c r="L8" s="528"/>
      <c r="M8" s="528"/>
    </row>
    <row r="9" spans="1:40" s="100" customFormat="1" ht="13.5" customHeight="1">
      <c r="A9" s="384"/>
      <c r="B9" s="385"/>
      <c r="C9" s="385">
        <v>1</v>
      </c>
      <c r="D9" s="385" t="s">
        <v>42</v>
      </c>
      <c r="E9" s="385"/>
      <c r="F9" s="386"/>
      <c r="G9" s="149"/>
      <c r="H9" s="149">
        <f>SUM(H10:H21)</f>
        <v>320800</v>
      </c>
      <c r="I9" s="387"/>
    </row>
    <row r="10" spans="1:40" s="134" customFormat="1" ht="13.5" customHeight="1">
      <c r="A10" s="135" t="s">
        <v>38</v>
      </c>
      <c r="B10" s="136" t="s">
        <v>43</v>
      </c>
      <c r="C10" s="136" t="s">
        <v>105</v>
      </c>
      <c r="D10" s="136" t="s">
        <v>482</v>
      </c>
      <c r="E10" s="136" t="s">
        <v>23</v>
      </c>
      <c r="F10" s="184">
        <f>F11</f>
        <v>1</v>
      </c>
      <c r="G10" s="138">
        <v>320800</v>
      </c>
      <c r="H10" s="138">
        <f>F10*G10</f>
        <v>320800</v>
      </c>
      <c r="I10" s="99" t="s">
        <v>58</v>
      </c>
      <c r="J10" s="100"/>
      <c r="K10" s="533"/>
      <c r="L10" s="534"/>
      <c r="N10" s="530"/>
      <c r="P10" s="531"/>
    </row>
    <row r="11" spans="1:40" s="134" customFormat="1" ht="13.5" customHeight="1">
      <c r="A11" s="135"/>
      <c r="B11" s="136"/>
      <c r="C11" s="136"/>
      <c r="D11" s="101" t="s">
        <v>106</v>
      </c>
      <c r="E11" s="136"/>
      <c r="F11" s="137">
        <v>1</v>
      </c>
      <c r="G11" s="138"/>
      <c r="H11" s="138"/>
      <c r="I11" s="188"/>
      <c r="J11" s="100"/>
      <c r="K11" s="533"/>
      <c r="L11" s="534"/>
      <c r="N11" s="530"/>
      <c r="P11" s="531"/>
    </row>
    <row r="12" spans="1:40" s="145" customFormat="1" ht="13.5" customHeight="1">
      <c r="A12" s="140"/>
      <c r="B12" s="105"/>
      <c r="C12" s="141"/>
      <c r="D12" s="101" t="s">
        <v>80</v>
      </c>
      <c r="E12" s="141"/>
      <c r="F12" s="142"/>
      <c r="G12" s="143"/>
      <c r="H12" s="143"/>
      <c r="I12" s="388"/>
      <c r="J12" s="100"/>
      <c r="K12" s="536"/>
      <c r="L12" s="536"/>
    </row>
    <row r="13" spans="1:40" s="145" customFormat="1" ht="13.5" customHeight="1">
      <c r="A13" s="140"/>
      <c r="B13" s="105"/>
      <c r="C13" s="141"/>
      <c r="D13" s="101" t="s">
        <v>107</v>
      </c>
      <c r="E13" s="141"/>
      <c r="F13" s="142"/>
      <c r="G13" s="143"/>
      <c r="H13" s="143"/>
      <c r="I13" s="388"/>
      <c r="J13" s="100"/>
      <c r="K13" s="536"/>
      <c r="L13" s="536"/>
    </row>
    <row r="14" spans="1:40" s="145" customFormat="1" ht="13.5" customHeight="1">
      <c r="A14" s="140"/>
      <c r="B14" s="105"/>
      <c r="C14" s="141"/>
      <c r="D14" s="101" t="s">
        <v>108</v>
      </c>
      <c r="E14" s="141"/>
      <c r="F14" s="142"/>
      <c r="G14" s="143"/>
      <c r="H14" s="143"/>
      <c r="I14" s="388"/>
      <c r="J14" s="100"/>
      <c r="K14" s="536"/>
      <c r="L14" s="536"/>
    </row>
    <row r="15" spans="1:40" s="145" customFormat="1" ht="13.5" customHeight="1">
      <c r="A15" s="140"/>
      <c r="B15" s="105"/>
      <c r="C15" s="141"/>
      <c r="D15" s="101" t="s">
        <v>109</v>
      </c>
      <c r="E15" s="141"/>
      <c r="F15" s="142"/>
      <c r="G15" s="143"/>
      <c r="H15" s="143"/>
      <c r="I15" s="388"/>
      <c r="J15" s="100"/>
      <c r="K15" s="536"/>
      <c r="L15" s="536"/>
    </row>
    <row r="16" spans="1:40" s="145" customFormat="1" ht="13.5" customHeight="1">
      <c r="A16" s="140"/>
      <c r="B16" s="105"/>
      <c r="C16" s="141"/>
      <c r="D16" s="101" t="s">
        <v>110</v>
      </c>
      <c r="E16" s="141"/>
      <c r="F16" s="142"/>
      <c r="G16" s="143"/>
      <c r="H16" s="143"/>
      <c r="I16" s="388"/>
      <c r="J16" s="100"/>
      <c r="K16" s="536"/>
      <c r="L16" s="536"/>
    </row>
    <row r="17" spans="1:256" s="145" customFormat="1" ht="13.5" customHeight="1">
      <c r="A17" s="140"/>
      <c r="B17" s="105"/>
      <c r="C17" s="141"/>
      <c r="D17" s="101" t="s">
        <v>111</v>
      </c>
      <c r="E17" s="141"/>
      <c r="F17" s="142"/>
      <c r="G17" s="143"/>
      <c r="H17" s="143"/>
      <c r="I17" s="388"/>
      <c r="J17" s="100"/>
      <c r="K17" s="536"/>
      <c r="L17" s="536"/>
    </row>
    <row r="18" spans="1:256" s="145" customFormat="1" ht="13.5" customHeight="1">
      <c r="A18" s="140"/>
      <c r="B18" s="105"/>
      <c r="C18" s="141"/>
      <c r="D18" s="101" t="s">
        <v>112</v>
      </c>
      <c r="E18" s="141"/>
      <c r="F18" s="142"/>
      <c r="G18" s="143"/>
      <c r="H18" s="143"/>
      <c r="I18" s="388"/>
      <c r="J18" s="100"/>
      <c r="K18" s="536"/>
      <c r="L18" s="536"/>
    </row>
    <row r="19" spans="1:256" s="145" customFormat="1" ht="27" customHeight="1">
      <c r="A19" s="140"/>
      <c r="B19" s="105"/>
      <c r="C19" s="141"/>
      <c r="D19" s="101" t="s">
        <v>113</v>
      </c>
      <c r="E19" s="141"/>
      <c r="F19" s="142"/>
      <c r="G19" s="143"/>
      <c r="H19" s="143"/>
      <c r="I19" s="388"/>
      <c r="J19" s="100"/>
      <c r="K19" s="536"/>
      <c r="L19" s="536"/>
    </row>
    <row r="20" spans="1:256" s="145" customFormat="1" ht="13.5" customHeight="1">
      <c r="A20" s="140"/>
      <c r="B20" s="105"/>
      <c r="C20" s="141"/>
      <c r="D20" s="101" t="s">
        <v>82</v>
      </c>
      <c r="E20" s="141"/>
      <c r="F20" s="142"/>
      <c r="G20" s="143"/>
      <c r="H20" s="143"/>
      <c r="I20" s="388"/>
      <c r="J20" s="100"/>
      <c r="K20" s="536"/>
      <c r="L20" s="536"/>
    </row>
    <row r="21" spans="1:256" s="74" customFormat="1" ht="81" customHeight="1">
      <c r="A21" s="81"/>
      <c r="B21" s="82"/>
      <c r="C21" s="83"/>
      <c r="D21" s="84" t="s">
        <v>50</v>
      </c>
      <c r="E21" s="79"/>
      <c r="F21" s="85"/>
      <c r="G21" s="86"/>
      <c r="H21" s="86"/>
      <c r="I21" s="87"/>
      <c r="J21" s="100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  <c r="DR21" s="75"/>
      <c r="DS21" s="75"/>
      <c r="DT21" s="75"/>
      <c r="DU21" s="75"/>
      <c r="DV21" s="75"/>
      <c r="DW21" s="75"/>
      <c r="DX21" s="75"/>
      <c r="DY21" s="75"/>
      <c r="DZ21" s="75"/>
      <c r="EA21" s="75"/>
      <c r="EB21" s="75"/>
      <c r="EC21" s="75"/>
      <c r="ED21" s="75"/>
      <c r="EE21" s="75"/>
      <c r="EF21" s="75"/>
      <c r="EG21" s="75"/>
      <c r="EH21" s="75"/>
      <c r="EI21" s="75"/>
      <c r="EJ21" s="75"/>
      <c r="EK21" s="75"/>
      <c r="EL21" s="75"/>
      <c r="EM21" s="75"/>
      <c r="EN21" s="75"/>
      <c r="EO21" s="75"/>
      <c r="EP21" s="75"/>
      <c r="EQ21" s="75"/>
      <c r="ER21" s="75"/>
      <c r="ES21" s="75"/>
      <c r="ET21" s="75"/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5"/>
      <c r="FF21" s="75"/>
      <c r="FG21" s="75"/>
      <c r="FH21" s="75"/>
      <c r="FI21" s="75"/>
      <c r="FJ21" s="75"/>
      <c r="FK21" s="75"/>
      <c r="FL21" s="75"/>
      <c r="FM21" s="75"/>
      <c r="FN21" s="75"/>
      <c r="FO21" s="75"/>
      <c r="FP21" s="75"/>
      <c r="FQ21" s="75"/>
      <c r="FR21" s="75"/>
      <c r="FS21" s="75"/>
      <c r="FT21" s="75"/>
      <c r="FU21" s="75"/>
      <c r="FV21" s="75"/>
      <c r="FW21" s="75"/>
      <c r="FX21" s="75"/>
      <c r="FY21" s="75"/>
      <c r="FZ21" s="75"/>
      <c r="GA21" s="75"/>
      <c r="GB21" s="75"/>
      <c r="GC21" s="75"/>
      <c r="GD21" s="75"/>
      <c r="GE21" s="75"/>
      <c r="GF21" s="75"/>
      <c r="GG21" s="75"/>
      <c r="GH21" s="75"/>
      <c r="GI21" s="75"/>
      <c r="GJ21" s="75"/>
      <c r="GK21" s="75"/>
      <c r="GL21" s="75"/>
      <c r="GM21" s="75"/>
      <c r="GN21" s="75"/>
      <c r="GO21" s="75"/>
      <c r="GP21" s="75"/>
      <c r="GQ21" s="75"/>
      <c r="GR21" s="75"/>
      <c r="GS21" s="75"/>
      <c r="GT21" s="75"/>
      <c r="GU21" s="75"/>
      <c r="GV21" s="75"/>
      <c r="GW21" s="75"/>
      <c r="GX21" s="75"/>
      <c r="GY21" s="75"/>
      <c r="GZ21" s="75"/>
      <c r="HA21" s="75"/>
      <c r="HB21" s="75"/>
      <c r="HC21" s="75"/>
      <c r="HD21" s="75"/>
      <c r="HE21" s="75"/>
      <c r="HF21" s="75"/>
      <c r="HG21" s="75"/>
      <c r="HH21" s="75"/>
      <c r="HI21" s="75"/>
      <c r="HJ21" s="75"/>
      <c r="HK21" s="75"/>
      <c r="HL21" s="75"/>
      <c r="HM21" s="75"/>
      <c r="HN21" s="75"/>
      <c r="HO21" s="75"/>
      <c r="HP21" s="75"/>
      <c r="HQ21" s="75"/>
      <c r="HR21" s="75"/>
      <c r="HS21" s="75"/>
      <c r="HT21" s="75"/>
      <c r="HU21" s="75"/>
      <c r="HV21" s="75"/>
      <c r="HW21" s="75"/>
      <c r="HX21" s="75"/>
      <c r="HY21" s="75"/>
      <c r="HZ21" s="75"/>
      <c r="IA21" s="75"/>
      <c r="IB21" s="75"/>
      <c r="IC21" s="75"/>
      <c r="ID21" s="75"/>
      <c r="IE21" s="75"/>
      <c r="IF21" s="75"/>
      <c r="IG21" s="75"/>
      <c r="IH21" s="75"/>
      <c r="II21" s="75"/>
      <c r="IJ21" s="75"/>
      <c r="IK21" s="75"/>
      <c r="IL21" s="75"/>
      <c r="IM21" s="75"/>
      <c r="IN21" s="75"/>
      <c r="IO21" s="75"/>
      <c r="IP21" s="75"/>
      <c r="IQ21" s="75"/>
      <c r="IR21" s="75"/>
      <c r="IS21" s="75"/>
      <c r="IT21" s="75"/>
      <c r="IU21" s="75"/>
      <c r="IV21" s="75"/>
    </row>
    <row r="22" spans="1:256" s="100" customFormat="1" ht="13.5" customHeight="1">
      <c r="A22" s="146"/>
      <c r="B22" s="147"/>
      <c r="C22" s="147">
        <v>3</v>
      </c>
      <c r="D22" s="147" t="s">
        <v>85</v>
      </c>
      <c r="E22" s="147"/>
      <c r="F22" s="148"/>
      <c r="G22" s="149"/>
      <c r="H22" s="149">
        <f>SUM(H23:H32)</f>
        <v>349893.32</v>
      </c>
      <c r="I22" s="109"/>
      <c r="K22" s="94"/>
      <c r="L22" s="542"/>
      <c r="M22" s="94"/>
      <c r="N22" s="543"/>
    </row>
    <row r="23" spans="1:256" s="100" customFormat="1" ht="13.5" customHeight="1">
      <c r="A23" s="96">
        <v>2</v>
      </c>
      <c r="B23" s="105" t="s">
        <v>127</v>
      </c>
      <c r="C23" s="97" t="s">
        <v>128</v>
      </c>
      <c r="D23" s="97" t="s">
        <v>129</v>
      </c>
      <c r="E23" s="97" t="s">
        <v>47</v>
      </c>
      <c r="F23" s="98">
        <f>SUM(F25)</f>
        <v>21.832000000000001</v>
      </c>
      <c r="G23" s="106">
        <v>15635</v>
      </c>
      <c r="H23" s="138">
        <f>F23*G23</f>
        <v>341343.32</v>
      </c>
      <c r="I23" s="72" t="s">
        <v>58</v>
      </c>
      <c r="K23" s="544"/>
      <c r="L23" s="545"/>
      <c r="M23" s="111"/>
      <c r="N23" s="544"/>
    </row>
    <row r="24" spans="1:256" s="145" customFormat="1" ht="13.5" customHeight="1">
      <c r="A24" s="140"/>
      <c r="B24" s="141"/>
      <c r="C24" s="141"/>
      <c r="D24" s="101" t="s">
        <v>130</v>
      </c>
      <c r="E24" s="97"/>
      <c r="F24" s="388"/>
      <c r="G24" s="143"/>
      <c r="H24" s="143"/>
      <c r="I24" s="159"/>
      <c r="J24" s="100"/>
      <c r="K24" s="538"/>
      <c r="L24" s="538"/>
      <c r="M24" s="537"/>
      <c r="N24" s="648"/>
    </row>
    <row r="25" spans="1:256" s="145" customFormat="1" ht="13.5" customHeight="1">
      <c r="A25" s="140"/>
      <c r="B25" s="141"/>
      <c r="C25" s="141"/>
      <c r="D25" s="101" t="s">
        <v>508</v>
      </c>
      <c r="E25" s="97"/>
      <c r="F25" s="113">
        <f>(0.982)+(9.68)+(1.14)+(2.44)+(7.59)</f>
        <v>21.832000000000001</v>
      </c>
      <c r="G25" s="143"/>
      <c r="H25" s="143"/>
      <c r="I25" s="159"/>
      <c r="J25" s="100"/>
      <c r="K25" s="538"/>
      <c r="L25" s="538"/>
      <c r="M25" s="537"/>
      <c r="N25" s="648"/>
    </row>
    <row r="26" spans="1:256" s="145" customFormat="1" ht="40.5" customHeight="1">
      <c r="A26" s="140"/>
      <c r="B26" s="141"/>
      <c r="C26" s="141"/>
      <c r="D26" s="101" t="s">
        <v>131</v>
      </c>
      <c r="E26" s="141"/>
      <c r="F26" s="160"/>
      <c r="G26" s="143"/>
      <c r="H26" s="143"/>
      <c r="I26" s="159"/>
      <c r="J26" s="100"/>
      <c r="K26" s="544"/>
      <c r="L26" s="545"/>
      <c r="M26" s="111"/>
      <c r="N26" s="544"/>
    </row>
    <row r="27" spans="1:256" s="100" customFormat="1" ht="13.5" customHeight="1">
      <c r="A27" s="96">
        <v>3</v>
      </c>
      <c r="B27" s="105" t="s">
        <v>114</v>
      </c>
      <c r="C27" s="97" t="s">
        <v>132</v>
      </c>
      <c r="D27" s="97" t="s">
        <v>483</v>
      </c>
      <c r="E27" s="97" t="s">
        <v>48</v>
      </c>
      <c r="F27" s="98">
        <f>SUM(F28:F28)</f>
        <v>2.85</v>
      </c>
      <c r="G27" s="106">
        <v>3000</v>
      </c>
      <c r="H27" s="138">
        <f>F27*G27</f>
        <v>8550</v>
      </c>
      <c r="I27" s="99" t="s">
        <v>58</v>
      </c>
      <c r="K27" s="544"/>
      <c r="L27" s="545"/>
      <c r="M27" s="111"/>
      <c r="N27" s="544"/>
    </row>
    <row r="28" spans="1:256" s="145" customFormat="1" ht="13.5" customHeight="1">
      <c r="A28" s="140"/>
      <c r="B28" s="141"/>
      <c r="C28" s="141"/>
      <c r="D28" s="101" t="s">
        <v>517</v>
      </c>
      <c r="E28" s="141"/>
      <c r="F28" s="113">
        <v>2.85</v>
      </c>
      <c r="G28" s="143"/>
      <c r="H28" s="143"/>
      <c r="I28" s="159"/>
      <c r="J28" s="100"/>
      <c r="K28" s="544"/>
      <c r="L28" s="545"/>
      <c r="M28" s="111"/>
      <c r="N28" s="544"/>
    </row>
    <row r="29" spans="1:256" s="100" customFormat="1" ht="13.5" customHeight="1">
      <c r="A29" s="96"/>
      <c r="B29" s="105"/>
      <c r="C29" s="97"/>
      <c r="D29" s="80" t="s">
        <v>80</v>
      </c>
      <c r="E29" s="97"/>
      <c r="F29" s="109"/>
      <c r="G29" s="106"/>
      <c r="H29" s="106"/>
      <c r="I29" s="159"/>
      <c r="K29" s="544"/>
      <c r="L29" s="545"/>
      <c r="M29" s="111"/>
      <c r="N29" s="544"/>
    </row>
    <row r="30" spans="1:256" s="100" customFormat="1" ht="13.5" customHeight="1">
      <c r="A30" s="102"/>
      <c r="B30" s="103"/>
      <c r="C30" s="103"/>
      <c r="D30" s="158" t="s">
        <v>484</v>
      </c>
      <c r="E30" s="103"/>
      <c r="F30" s="162"/>
      <c r="G30" s="110"/>
      <c r="H30" s="106"/>
      <c r="I30" s="109"/>
      <c r="K30" s="544"/>
      <c r="L30" s="545"/>
      <c r="M30" s="111"/>
      <c r="N30" s="544"/>
    </row>
    <row r="31" spans="1:256" s="100" customFormat="1" ht="13.5" customHeight="1">
      <c r="A31" s="102"/>
      <c r="B31" s="103"/>
      <c r="C31" s="103"/>
      <c r="D31" s="158" t="s">
        <v>485</v>
      </c>
      <c r="E31" s="103"/>
      <c r="F31" s="162"/>
      <c r="G31" s="110"/>
      <c r="H31" s="106"/>
      <c r="I31" s="109"/>
      <c r="K31" s="544"/>
      <c r="L31" s="545"/>
      <c r="M31" s="111"/>
      <c r="N31" s="544"/>
    </row>
    <row r="32" spans="1:256" s="116" customFormat="1" ht="13.5" customHeight="1">
      <c r="A32" s="115"/>
      <c r="B32" s="105"/>
      <c r="C32" s="97"/>
      <c r="D32" s="158" t="s">
        <v>133</v>
      </c>
      <c r="E32" s="97"/>
      <c r="F32" s="162"/>
      <c r="G32" s="106"/>
      <c r="H32" s="106"/>
      <c r="I32" s="163"/>
      <c r="J32" s="100"/>
      <c r="K32" s="544"/>
      <c r="L32" s="545"/>
      <c r="M32" s="111"/>
      <c r="N32" s="544"/>
    </row>
    <row r="33" spans="1:19" s="100" customFormat="1" ht="13.5" customHeight="1">
      <c r="A33" s="146"/>
      <c r="B33" s="147"/>
      <c r="C33" s="164" t="s">
        <v>75</v>
      </c>
      <c r="D33" s="164" t="s">
        <v>86</v>
      </c>
      <c r="E33" s="164"/>
      <c r="F33" s="166"/>
      <c r="G33" s="167"/>
      <c r="H33" s="167">
        <f>SUM(H34:H69)</f>
        <v>1017806.665</v>
      </c>
      <c r="I33" s="109"/>
      <c r="K33" s="544"/>
      <c r="L33" s="545"/>
      <c r="M33" s="111"/>
      <c r="N33" s="544"/>
    </row>
    <row r="34" spans="1:19" s="92" customFormat="1" ht="13.5" customHeight="1">
      <c r="A34" s="168" t="s">
        <v>73</v>
      </c>
      <c r="B34" s="169" t="s">
        <v>114</v>
      </c>
      <c r="C34" s="89" t="s">
        <v>141</v>
      </c>
      <c r="D34" s="97" t="s">
        <v>142</v>
      </c>
      <c r="E34" s="89" t="s">
        <v>48</v>
      </c>
      <c r="F34" s="98">
        <f>SUM(F35)</f>
        <v>53.11</v>
      </c>
      <c r="G34" s="106">
        <v>1811</v>
      </c>
      <c r="H34" s="138">
        <f>F34*G34</f>
        <v>96182.209999999992</v>
      </c>
      <c r="I34" s="99" t="s">
        <v>49</v>
      </c>
      <c r="J34" s="100"/>
      <c r="K34" s="544"/>
      <c r="L34" s="545"/>
      <c r="M34" s="111"/>
      <c r="N34" s="544"/>
      <c r="O34" s="557"/>
      <c r="P34" s="557"/>
      <c r="Q34" s="557"/>
    </row>
    <row r="35" spans="1:19" s="92" customFormat="1" ht="13.5" customHeight="1">
      <c r="A35" s="168"/>
      <c r="B35" s="169"/>
      <c r="C35" s="89"/>
      <c r="D35" s="80" t="s">
        <v>486</v>
      </c>
      <c r="E35" s="89"/>
      <c r="F35" s="113">
        <f>12.49+18.46+3.15+7.32+1.08+4.38+1.5+4.73</f>
        <v>53.11</v>
      </c>
      <c r="G35" s="91"/>
      <c r="H35" s="91"/>
      <c r="I35" s="106"/>
      <c r="J35" s="100"/>
      <c r="K35" s="544"/>
      <c r="L35" s="545"/>
      <c r="M35" s="111"/>
      <c r="N35" s="544"/>
    </row>
    <row r="36" spans="1:19" s="92" customFormat="1" ht="13.5" customHeight="1">
      <c r="A36" s="170"/>
      <c r="B36" s="89"/>
      <c r="C36" s="89"/>
      <c r="D36" s="80" t="s">
        <v>80</v>
      </c>
      <c r="E36" s="89"/>
      <c r="F36" s="142"/>
      <c r="G36" s="91"/>
      <c r="H36" s="91"/>
      <c r="I36" s="106"/>
      <c r="J36" s="100"/>
      <c r="K36" s="544"/>
      <c r="L36" s="545"/>
      <c r="M36" s="111"/>
      <c r="N36" s="544"/>
    </row>
    <row r="37" spans="1:19" s="92" customFormat="1" ht="13.5" customHeight="1">
      <c r="A37" s="170"/>
      <c r="B37" s="89"/>
      <c r="C37" s="89"/>
      <c r="D37" s="158" t="s">
        <v>143</v>
      </c>
      <c r="E37" s="89"/>
      <c r="F37" s="142"/>
      <c r="G37" s="91"/>
      <c r="H37" s="91"/>
      <c r="I37" s="106"/>
      <c r="J37" s="100"/>
      <c r="K37" s="544"/>
      <c r="L37" s="545"/>
      <c r="M37" s="111"/>
      <c r="N37" s="544"/>
    </row>
    <row r="38" spans="1:19" s="112" customFormat="1" ht="13.5" customHeight="1">
      <c r="A38" s="171"/>
      <c r="B38" s="158"/>
      <c r="C38" s="158"/>
      <c r="D38" s="158" t="s">
        <v>144</v>
      </c>
      <c r="E38" s="158"/>
      <c r="F38" s="113"/>
      <c r="G38" s="172"/>
      <c r="H38" s="172"/>
      <c r="I38" s="173"/>
      <c r="J38" s="100"/>
      <c r="K38" s="544"/>
      <c r="L38" s="545"/>
      <c r="M38" s="111"/>
      <c r="N38" s="544"/>
    </row>
    <row r="39" spans="1:19" s="112" customFormat="1" ht="13.5" customHeight="1">
      <c r="A39" s="171"/>
      <c r="B39" s="158"/>
      <c r="C39" s="158"/>
      <c r="D39" s="158" t="s">
        <v>145</v>
      </c>
      <c r="E39" s="158"/>
      <c r="F39" s="113"/>
      <c r="G39" s="172"/>
      <c r="H39" s="172"/>
      <c r="I39" s="173"/>
      <c r="J39" s="100"/>
      <c r="K39" s="544"/>
      <c r="L39" s="545"/>
      <c r="M39" s="111"/>
      <c r="N39" s="544"/>
      <c r="S39" s="605"/>
    </row>
    <row r="40" spans="1:19" s="112" customFormat="1" ht="13.5" customHeight="1">
      <c r="A40" s="171"/>
      <c r="B40" s="158"/>
      <c r="C40" s="158"/>
      <c r="D40" s="158" t="s">
        <v>146</v>
      </c>
      <c r="E40" s="158"/>
      <c r="F40" s="113"/>
      <c r="G40" s="172"/>
      <c r="H40" s="172"/>
      <c r="I40" s="173"/>
      <c r="J40" s="100"/>
      <c r="K40" s="544"/>
      <c r="L40" s="545"/>
      <c r="M40" s="111"/>
      <c r="N40" s="544"/>
      <c r="S40" s="605"/>
    </row>
    <row r="41" spans="1:19" s="112" customFormat="1" ht="13.5" customHeight="1">
      <c r="A41" s="171"/>
      <c r="B41" s="158"/>
      <c r="C41" s="158"/>
      <c r="D41" s="158" t="s">
        <v>147</v>
      </c>
      <c r="E41" s="158"/>
      <c r="F41" s="113"/>
      <c r="G41" s="172"/>
      <c r="H41" s="172"/>
      <c r="I41" s="173"/>
      <c r="J41" s="100"/>
      <c r="K41" s="544"/>
      <c r="L41" s="545"/>
      <c r="M41" s="111"/>
      <c r="N41" s="544"/>
      <c r="S41" s="605"/>
    </row>
    <row r="42" spans="1:19" s="112" customFormat="1" ht="13.5" customHeight="1">
      <c r="A42" s="171"/>
      <c r="B42" s="158"/>
      <c r="C42" s="158"/>
      <c r="D42" s="80" t="s">
        <v>148</v>
      </c>
      <c r="E42" s="158"/>
      <c r="F42" s="113"/>
      <c r="G42" s="172"/>
      <c r="H42" s="172"/>
      <c r="I42" s="173"/>
      <c r="J42" s="100"/>
      <c r="K42" s="544"/>
      <c r="L42" s="545"/>
      <c r="M42" s="111"/>
      <c r="N42" s="544"/>
    </row>
    <row r="43" spans="1:19" s="112" customFormat="1" ht="27" customHeight="1">
      <c r="A43" s="171"/>
      <c r="B43" s="158"/>
      <c r="C43" s="158"/>
      <c r="D43" s="80" t="s">
        <v>149</v>
      </c>
      <c r="E43" s="158"/>
      <c r="F43" s="113"/>
      <c r="G43" s="172"/>
      <c r="H43" s="172"/>
      <c r="I43" s="173"/>
      <c r="J43" s="100"/>
      <c r="K43" s="544"/>
      <c r="L43" s="545"/>
      <c r="M43" s="111"/>
      <c r="N43" s="544"/>
    </row>
    <row r="44" spans="1:19" s="112" customFormat="1" ht="13.5" customHeight="1">
      <c r="A44" s="171"/>
      <c r="B44" s="158"/>
      <c r="C44" s="158"/>
      <c r="D44" s="158" t="s">
        <v>133</v>
      </c>
      <c r="E44" s="158"/>
      <c r="F44" s="113"/>
      <c r="G44" s="172"/>
      <c r="H44" s="172"/>
      <c r="I44" s="173"/>
      <c r="J44" s="100"/>
      <c r="K44" s="544"/>
      <c r="L44" s="545"/>
      <c r="M44" s="111"/>
      <c r="N44" s="544"/>
    </row>
    <row r="45" spans="1:19" s="112" customFormat="1" ht="13.5" customHeight="1">
      <c r="A45" s="171"/>
      <c r="B45" s="158"/>
      <c r="C45" s="158"/>
      <c r="D45" s="158" t="s">
        <v>150</v>
      </c>
      <c r="E45" s="158"/>
      <c r="F45" s="113"/>
      <c r="G45" s="172"/>
      <c r="H45" s="172"/>
      <c r="I45" s="173"/>
      <c r="J45" s="100"/>
      <c r="K45" s="544"/>
      <c r="L45" s="545"/>
      <c r="M45" s="111"/>
      <c r="N45" s="544"/>
      <c r="P45" s="649"/>
    </row>
    <row r="46" spans="1:19" s="92" customFormat="1" ht="13.5" customHeight="1">
      <c r="A46" s="168" t="s">
        <v>74</v>
      </c>
      <c r="B46" s="169" t="s">
        <v>114</v>
      </c>
      <c r="C46" s="89" t="s">
        <v>151</v>
      </c>
      <c r="D46" s="97" t="s">
        <v>152</v>
      </c>
      <c r="E46" s="89" t="s">
        <v>48</v>
      </c>
      <c r="F46" s="98">
        <f>SUM(F47)</f>
        <v>310.19220000000001</v>
      </c>
      <c r="G46" s="106">
        <v>1275</v>
      </c>
      <c r="H46" s="138">
        <f>F46*G46</f>
        <v>395495.05499999999</v>
      </c>
      <c r="I46" s="99" t="s">
        <v>49</v>
      </c>
      <c r="J46" s="100"/>
      <c r="K46" s="544"/>
      <c r="L46" s="545"/>
      <c r="M46" s="111"/>
      <c r="N46" s="544"/>
      <c r="O46" s="557"/>
      <c r="P46" s="557"/>
      <c r="Q46" s="557"/>
    </row>
    <row r="47" spans="1:19" s="92" customFormat="1" ht="13.5" customHeight="1">
      <c r="A47" s="168"/>
      <c r="B47" s="169"/>
      <c r="C47" s="89"/>
      <c r="D47" s="80" t="s">
        <v>487</v>
      </c>
      <c r="E47" s="89"/>
      <c r="F47" s="113">
        <f>91.233*3.4</f>
        <v>310.19220000000001</v>
      </c>
      <c r="G47" s="91"/>
      <c r="H47" s="91"/>
      <c r="I47" s="106"/>
      <c r="J47" s="100"/>
      <c r="K47" s="544"/>
      <c r="L47" s="545"/>
      <c r="M47" s="111"/>
      <c r="N47" s="544"/>
    </row>
    <row r="48" spans="1:19" s="92" customFormat="1" ht="13.5" customHeight="1">
      <c r="A48" s="170"/>
      <c r="B48" s="89"/>
      <c r="C48" s="89"/>
      <c r="D48" s="80" t="s">
        <v>80</v>
      </c>
      <c r="E48" s="89"/>
      <c r="F48" s="142"/>
      <c r="G48" s="91"/>
      <c r="H48" s="91"/>
      <c r="I48" s="106"/>
      <c r="J48" s="100"/>
      <c r="K48" s="544"/>
      <c r="L48" s="545"/>
      <c r="M48" s="111"/>
      <c r="N48" s="544"/>
      <c r="O48" s="112"/>
    </row>
    <row r="49" spans="1:19" s="112" customFormat="1" ht="13.5" customHeight="1">
      <c r="A49" s="171"/>
      <c r="B49" s="158"/>
      <c r="C49" s="158"/>
      <c r="D49" s="158" t="s">
        <v>144</v>
      </c>
      <c r="E49" s="158"/>
      <c r="F49" s="113"/>
      <c r="G49" s="172"/>
      <c r="H49" s="172"/>
      <c r="I49" s="106"/>
      <c r="J49" s="100"/>
      <c r="K49" s="544"/>
      <c r="L49" s="545"/>
      <c r="M49" s="111"/>
      <c r="N49" s="544"/>
    </row>
    <row r="50" spans="1:19" s="112" customFormat="1" ht="13.5" customHeight="1">
      <c r="A50" s="171"/>
      <c r="B50" s="158"/>
      <c r="C50" s="158"/>
      <c r="D50" s="158" t="s">
        <v>145</v>
      </c>
      <c r="E50" s="158"/>
      <c r="F50" s="113"/>
      <c r="G50" s="172"/>
      <c r="H50" s="172"/>
      <c r="I50" s="106"/>
      <c r="J50" s="100"/>
      <c r="K50" s="544"/>
      <c r="L50" s="545"/>
      <c r="M50" s="111"/>
      <c r="N50" s="544"/>
      <c r="S50" s="558"/>
    </row>
    <row r="51" spans="1:19" s="112" customFormat="1" ht="13.5" customHeight="1">
      <c r="A51" s="171"/>
      <c r="B51" s="158"/>
      <c r="C51" s="158"/>
      <c r="D51" s="158" t="s">
        <v>147</v>
      </c>
      <c r="E51" s="158"/>
      <c r="F51" s="113"/>
      <c r="G51" s="172"/>
      <c r="H51" s="172"/>
      <c r="I51" s="173"/>
      <c r="J51" s="100"/>
      <c r="K51" s="544"/>
      <c r="L51" s="545"/>
      <c r="M51" s="111"/>
      <c r="N51" s="544"/>
      <c r="S51" s="558"/>
    </row>
    <row r="52" spans="1:19" s="112" customFormat="1" ht="13.5" customHeight="1">
      <c r="A52" s="171"/>
      <c r="B52" s="158"/>
      <c r="C52" s="158"/>
      <c r="D52" s="80" t="s">
        <v>148</v>
      </c>
      <c r="E52" s="158"/>
      <c r="F52" s="113"/>
      <c r="G52" s="172"/>
      <c r="H52" s="172"/>
      <c r="I52" s="173"/>
      <c r="J52" s="100"/>
      <c r="K52" s="544"/>
      <c r="L52" s="545"/>
      <c r="M52" s="111"/>
      <c r="N52" s="544"/>
    </row>
    <row r="53" spans="1:19" s="112" customFormat="1" ht="27" customHeight="1">
      <c r="A53" s="171"/>
      <c r="B53" s="158"/>
      <c r="C53" s="158"/>
      <c r="D53" s="80" t="s">
        <v>149</v>
      </c>
      <c r="E53" s="158"/>
      <c r="F53" s="113"/>
      <c r="G53" s="172"/>
      <c r="H53" s="172"/>
      <c r="I53" s="173"/>
      <c r="J53" s="100"/>
      <c r="K53" s="544"/>
      <c r="L53" s="545"/>
      <c r="M53" s="111"/>
      <c r="N53" s="544"/>
    </row>
    <row r="54" spans="1:19" s="112" customFormat="1" ht="13.5" customHeight="1">
      <c r="A54" s="171"/>
      <c r="B54" s="158"/>
      <c r="C54" s="158"/>
      <c r="D54" s="158" t="s">
        <v>133</v>
      </c>
      <c r="E54" s="158"/>
      <c r="F54" s="113"/>
      <c r="G54" s="172"/>
      <c r="H54" s="172"/>
      <c r="I54" s="173"/>
      <c r="J54" s="100"/>
      <c r="K54" s="544"/>
      <c r="L54" s="545"/>
      <c r="M54" s="111"/>
      <c r="N54" s="544"/>
    </row>
    <row r="55" spans="1:19" s="112" customFormat="1" ht="13.5" customHeight="1">
      <c r="A55" s="171"/>
      <c r="B55" s="158"/>
      <c r="C55" s="158"/>
      <c r="D55" s="158" t="s">
        <v>150</v>
      </c>
      <c r="E55" s="158"/>
      <c r="F55" s="113"/>
      <c r="G55" s="172"/>
      <c r="H55" s="172"/>
      <c r="I55" s="173"/>
      <c r="J55" s="100"/>
      <c r="K55" s="544"/>
      <c r="L55" s="545"/>
      <c r="M55" s="111"/>
      <c r="N55" s="544"/>
      <c r="P55" s="559"/>
    </row>
    <row r="56" spans="1:19" s="145" customFormat="1" ht="13.5" customHeight="1">
      <c r="A56" s="140"/>
      <c r="B56" s="141"/>
      <c r="C56" s="141"/>
      <c r="D56" s="101" t="s">
        <v>153</v>
      </c>
      <c r="E56" s="141"/>
      <c r="F56" s="160"/>
      <c r="G56" s="143"/>
      <c r="H56" s="143"/>
      <c r="I56" s="159"/>
      <c r="J56" s="100"/>
      <c r="K56" s="544"/>
      <c r="L56" s="545"/>
      <c r="M56" s="111"/>
      <c r="N56" s="544"/>
    </row>
    <row r="57" spans="1:19" s="92" customFormat="1" ht="27" customHeight="1">
      <c r="A57" s="168" t="s">
        <v>75</v>
      </c>
      <c r="B57" s="169" t="s">
        <v>114</v>
      </c>
      <c r="C57" s="89" t="s">
        <v>154</v>
      </c>
      <c r="D57" s="97" t="s">
        <v>155</v>
      </c>
      <c r="E57" s="89" t="s">
        <v>48</v>
      </c>
      <c r="F57" s="98">
        <f>SUM(F58)</f>
        <v>123.1</v>
      </c>
      <c r="G57" s="91">
        <v>4274</v>
      </c>
      <c r="H57" s="138">
        <f>F57*G57</f>
        <v>526129.4</v>
      </c>
      <c r="I57" s="99" t="s">
        <v>49</v>
      </c>
      <c r="J57" s="100"/>
      <c r="K57" s="538"/>
      <c r="L57" s="538"/>
      <c r="M57" s="537"/>
      <c r="N57" s="539"/>
      <c r="O57" s="557"/>
      <c r="P57" s="557"/>
      <c r="Q57" s="557"/>
    </row>
    <row r="58" spans="1:19" s="92" customFormat="1" ht="13.5" customHeight="1">
      <c r="A58" s="168"/>
      <c r="B58" s="169"/>
      <c r="C58" s="89"/>
      <c r="D58" s="80" t="s">
        <v>488</v>
      </c>
      <c r="E58" s="89"/>
      <c r="F58" s="113">
        <v>123.1</v>
      </c>
      <c r="G58" s="91"/>
      <c r="H58" s="91"/>
      <c r="I58" s="99"/>
      <c r="J58" s="100"/>
      <c r="K58" s="538"/>
      <c r="L58" s="538"/>
      <c r="M58" s="537"/>
      <c r="N58" s="111"/>
      <c r="O58" s="578"/>
    </row>
    <row r="59" spans="1:19" s="92" customFormat="1" ht="13.5" customHeight="1">
      <c r="A59" s="170"/>
      <c r="B59" s="89"/>
      <c r="C59" s="89"/>
      <c r="D59" s="80" t="s">
        <v>80</v>
      </c>
      <c r="E59" s="89"/>
      <c r="F59" s="142"/>
      <c r="G59" s="91"/>
      <c r="H59" s="91"/>
      <c r="I59" s="99"/>
      <c r="J59" s="100"/>
      <c r="K59" s="538"/>
      <c r="L59" s="538"/>
      <c r="M59" s="537"/>
      <c r="N59" s="539"/>
    </row>
    <row r="60" spans="1:19" s="112" customFormat="1" ht="13.5" customHeight="1">
      <c r="A60" s="171"/>
      <c r="B60" s="158"/>
      <c r="C60" s="158"/>
      <c r="D60" s="158" t="s">
        <v>156</v>
      </c>
      <c r="E60" s="158"/>
      <c r="F60" s="113"/>
      <c r="G60" s="172"/>
      <c r="H60" s="172"/>
      <c r="I60" s="173"/>
      <c r="J60" s="100"/>
      <c r="K60" s="538"/>
      <c r="L60" s="538"/>
      <c r="M60" s="537"/>
      <c r="N60" s="111"/>
    </row>
    <row r="61" spans="1:19" s="112" customFormat="1" ht="27" customHeight="1">
      <c r="A61" s="171"/>
      <c r="B61" s="158"/>
      <c r="C61" s="158"/>
      <c r="D61" s="158" t="s">
        <v>157</v>
      </c>
      <c r="E61" s="158"/>
      <c r="F61" s="113"/>
      <c r="G61" s="172"/>
      <c r="H61" s="172"/>
      <c r="I61" s="173"/>
      <c r="J61" s="100"/>
      <c r="K61" s="538"/>
      <c r="L61" s="538"/>
      <c r="M61" s="537"/>
      <c r="N61" s="111"/>
      <c r="S61" s="558"/>
    </row>
    <row r="62" spans="1:19" s="112" customFormat="1" ht="27" customHeight="1">
      <c r="A62" s="171"/>
      <c r="B62" s="158"/>
      <c r="C62" s="158"/>
      <c r="D62" s="80" t="s">
        <v>158</v>
      </c>
      <c r="E62" s="158"/>
      <c r="F62" s="113"/>
      <c r="G62" s="172"/>
      <c r="H62" s="172"/>
      <c r="I62" s="173"/>
      <c r="J62" s="100"/>
      <c r="K62" s="538"/>
      <c r="L62" s="538"/>
      <c r="M62" s="537"/>
      <c r="N62" s="111"/>
    </row>
    <row r="63" spans="1:19" s="112" customFormat="1" ht="13.5" customHeight="1">
      <c r="A63" s="171"/>
      <c r="B63" s="158"/>
      <c r="C63" s="158"/>
      <c r="D63" s="80" t="s">
        <v>159</v>
      </c>
      <c r="E63" s="158"/>
      <c r="F63" s="113"/>
      <c r="G63" s="172"/>
      <c r="H63" s="172"/>
      <c r="I63" s="173"/>
      <c r="J63" s="100"/>
      <c r="K63" s="538"/>
      <c r="L63" s="538"/>
      <c r="M63" s="537"/>
      <c r="N63" s="539"/>
    </row>
    <row r="64" spans="1:19" s="112" customFormat="1" ht="13.5" customHeight="1">
      <c r="A64" s="171"/>
      <c r="B64" s="158"/>
      <c r="C64" s="158"/>
      <c r="D64" s="80" t="s">
        <v>160</v>
      </c>
      <c r="E64" s="158"/>
      <c r="F64" s="113"/>
      <c r="G64" s="172"/>
      <c r="H64" s="172"/>
      <c r="I64" s="173"/>
      <c r="J64" s="100"/>
      <c r="K64" s="538"/>
      <c r="L64" s="538"/>
      <c r="M64" s="537"/>
      <c r="N64" s="111"/>
      <c r="O64" s="628"/>
      <c r="P64" s="548"/>
    </row>
    <row r="65" spans="1:17" s="112" customFormat="1" ht="13.5" customHeight="1">
      <c r="A65" s="171"/>
      <c r="B65" s="158"/>
      <c r="C65" s="158"/>
      <c r="D65" s="80" t="s">
        <v>490</v>
      </c>
      <c r="E65" s="158"/>
      <c r="F65" s="113"/>
      <c r="G65" s="172"/>
      <c r="H65" s="172"/>
      <c r="I65" s="173"/>
      <c r="J65" s="100"/>
      <c r="K65" s="538"/>
      <c r="L65" s="538"/>
      <c r="M65" s="537"/>
      <c r="N65" s="111"/>
      <c r="O65" s="650"/>
      <c r="P65" s="548"/>
    </row>
    <row r="66" spans="1:17" s="112" customFormat="1" ht="13.5" customHeight="1">
      <c r="A66" s="171"/>
      <c r="B66" s="158"/>
      <c r="C66" s="158"/>
      <c r="D66" s="158" t="s">
        <v>161</v>
      </c>
      <c r="E66" s="158"/>
      <c r="F66" s="113"/>
      <c r="G66" s="172"/>
      <c r="H66" s="172"/>
      <c r="I66" s="173"/>
      <c r="J66" s="100"/>
      <c r="K66" s="538"/>
      <c r="L66" s="538"/>
      <c r="M66" s="537"/>
      <c r="N66" s="111"/>
    </row>
    <row r="67" spans="1:17" s="112" customFormat="1" ht="13.5" customHeight="1">
      <c r="A67" s="171"/>
      <c r="B67" s="158"/>
      <c r="C67" s="158"/>
      <c r="D67" s="158" t="s">
        <v>489</v>
      </c>
      <c r="E67" s="158"/>
      <c r="F67" s="113"/>
      <c r="G67" s="172"/>
      <c r="H67" s="172"/>
      <c r="I67" s="173"/>
      <c r="J67" s="100"/>
      <c r="K67" s="538"/>
      <c r="L67" s="538"/>
      <c r="M67" s="537"/>
      <c r="N67" s="111"/>
    </row>
    <row r="68" spans="1:17" s="112" customFormat="1" ht="13.5" customHeight="1">
      <c r="A68" s="171"/>
      <c r="B68" s="158"/>
      <c r="C68" s="158"/>
      <c r="D68" s="158" t="s">
        <v>162</v>
      </c>
      <c r="E68" s="158"/>
      <c r="F68" s="113"/>
      <c r="G68" s="172"/>
      <c r="H68" s="172"/>
      <c r="I68" s="173"/>
      <c r="J68" s="100"/>
      <c r="K68" s="538"/>
      <c r="L68" s="538"/>
      <c r="M68" s="537"/>
      <c r="N68" s="111"/>
      <c r="P68" s="559"/>
    </row>
    <row r="69" spans="1:17" s="100" customFormat="1" ht="28.5" customHeight="1">
      <c r="A69" s="146"/>
      <c r="B69" s="174"/>
      <c r="C69" s="147"/>
      <c r="D69" s="101" t="s">
        <v>163</v>
      </c>
      <c r="E69" s="147"/>
      <c r="F69" s="113"/>
      <c r="G69" s="148"/>
      <c r="H69" s="148"/>
      <c r="I69" s="109"/>
      <c r="K69" s="538"/>
      <c r="L69" s="538"/>
      <c r="M69" s="537"/>
    </row>
    <row r="70" spans="1:17" s="100" customFormat="1" ht="13.5" customHeight="1">
      <c r="A70" s="146"/>
      <c r="B70" s="147"/>
      <c r="C70" s="147" t="s">
        <v>78</v>
      </c>
      <c r="D70" s="147" t="s">
        <v>87</v>
      </c>
      <c r="E70" s="147"/>
      <c r="F70" s="148"/>
      <c r="G70" s="149"/>
      <c r="H70" s="149">
        <f>SUM(H71:H104)</f>
        <v>194724.81</v>
      </c>
      <c r="I70" s="150"/>
      <c r="K70" s="544"/>
      <c r="L70" s="545"/>
      <c r="M70" s="111"/>
      <c r="N70" s="544"/>
      <c r="Q70" s="560"/>
    </row>
    <row r="71" spans="1:17" s="100" customFormat="1" ht="13.5" customHeight="1">
      <c r="A71" s="274">
        <v>7</v>
      </c>
      <c r="B71" s="182" t="s">
        <v>380</v>
      </c>
      <c r="C71" s="183" t="s">
        <v>381</v>
      </c>
      <c r="D71" s="183" t="s">
        <v>382</v>
      </c>
      <c r="E71" s="183" t="s">
        <v>48</v>
      </c>
      <c r="F71" s="256">
        <f>SUM(F72)</f>
        <v>2.6640000000000001</v>
      </c>
      <c r="G71" s="276">
        <v>2233</v>
      </c>
      <c r="H71" s="138">
        <f>F71*G71</f>
        <v>5948.7120000000004</v>
      </c>
      <c r="I71" s="99" t="s">
        <v>49</v>
      </c>
      <c r="K71" s="544"/>
      <c r="L71" s="545"/>
      <c r="M71" s="111"/>
      <c r="N71" s="544"/>
      <c r="Q71" s="560"/>
    </row>
    <row r="72" spans="1:17" s="145" customFormat="1" ht="13.5" customHeight="1">
      <c r="A72" s="140"/>
      <c r="B72" s="141"/>
      <c r="C72" s="141"/>
      <c r="D72" s="273" t="s">
        <v>493</v>
      </c>
      <c r="E72" s="183"/>
      <c r="F72" s="275">
        <f>0.604+1.02+1.04</f>
        <v>2.6640000000000001</v>
      </c>
      <c r="G72" s="143"/>
      <c r="H72" s="143"/>
      <c r="I72" s="143"/>
      <c r="J72" s="100"/>
      <c r="L72" s="629"/>
      <c r="M72" s="630"/>
      <c r="N72" s="272"/>
      <c r="O72" s="631"/>
    </row>
    <row r="73" spans="1:17" s="145" customFormat="1" ht="13.5" customHeight="1">
      <c r="A73" s="140"/>
      <c r="B73" s="141"/>
      <c r="C73" s="141"/>
      <c r="D73" s="273" t="s">
        <v>383</v>
      </c>
      <c r="E73" s="141"/>
      <c r="F73" s="160"/>
      <c r="G73" s="143"/>
      <c r="H73" s="143"/>
      <c r="I73" s="143"/>
      <c r="J73" s="100"/>
      <c r="L73" s="629"/>
      <c r="M73" s="630"/>
      <c r="N73" s="272"/>
      <c r="O73" s="631"/>
    </row>
    <row r="74" spans="1:17" s="258" customFormat="1" ht="66.900000000000006" customHeight="1">
      <c r="A74" s="255"/>
      <c r="B74" s="279"/>
      <c r="C74" s="277"/>
      <c r="D74" s="108" t="s">
        <v>57</v>
      </c>
      <c r="E74" s="273"/>
      <c r="F74" s="280"/>
      <c r="G74" s="256"/>
      <c r="H74" s="256"/>
      <c r="I74" s="256"/>
      <c r="J74" s="100"/>
      <c r="L74" s="629"/>
      <c r="M74" s="630"/>
      <c r="N74" s="272"/>
      <c r="O74" s="631"/>
    </row>
    <row r="75" spans="1:17" s="100" customFormat="1" ht="13.5" customHeight="1">
      <c r="A75" s="274">
        <v>8</v>
      </c>
      <c r="B75" s="182" t="s">
        <v>380</v>
      </c>
      <c r="C75" s="183" t="s">
        <v>384</v>
      </c>
      <c r="D75" s="183" t="s">
        <v>385</v>
      </c>
      <c r="E75" s="183" t="s">
        <v>47</v>
      </c>
      <c r="F75" s="256">
        <f>SUM(F76)</f>
        <v>5.3920000000000003</v>
      </c>
      <c r="G75" s="276">
        <v>16560</v>
      </c>
      <c r="H75" s="138">
        <f>F75*G75</f>
        <v>89291.520000000004</v>
      </c>
      <c r="I75" s="99" t="s">
        <v>49</v>
      </c>
      <c r="K75" s="544"/>
      <c r="L75" s="545"/>
      <c r="M75" s="111"/>
      <c r="N75" s="544"/>
      <c r="Q75" s="560"/>
    </row>
    <row r="76" spans="1:17" s="145" customFormat="1" ht="13.5" customHeight="1">
      <c r="A76" s="140"/>
      <c r="B76" s="141"/>
      <c r="C76" s="141"/>
      <c r="D76" s="273" t="s">
        <v>492</v>
      </c>
      <c r="E76" s="183"/>
      <c r="F76" s="275">
        <f>5.392</f>
        <v>5.3920000000000003</v>
      </c>
      <c r="G76" s="143"/>
      <c r="H76" s="143"/>
      <c r="I76" s="143"/>
      <c r="J76" s="100"/>
      <c r="L76" s="629"/>
      <c r="M76" s="630"/>
      <c r="N76" s="272"/>
      <c r="O76" s="631"/>
    </row>
    <row r="77" spans="1:17" s="145" customFormat="1" ht="13.5" customHeight="1">
      <c r="A77" s="140"/>
      <c r="B77" s="141"/>
      <c r="C77" s="141"/>
      <c r="D77" s="273" t="s">
        <v>386</v>
      </c>
      <c r="E77" s="141"/>
      <c r="F77" s="160"/>
      <c r="G77" s="143"/>
      <c r="H77" s="143"/>
      <c r="I77" s="143"/>
      <c r="J77" s="100"/>
      <c r="L77" s="629"/>
      <c r="M77" s="630"/>
      <c r="N77" s="272"/>
      <c r="O77" s="631"/>
    </row>
    <row r="78" spans="1:17" s="258" customFormat="1" ht="66.900000000000006" customHeight="1">
      <c r="A78" s="255"/>
      <c r="B78" s="279"/>
      <c r="C78" s="277"/>
      <c r="D78" s="108" t="s">
        <v>57</v>
      </c>
      <c r="E78" s="273"/>
      <c r="F78" s="280"/>
      <c r="G78" s="256"/>
      <c r="H78" s="256"/>
      <c r="I78" s="256"/>
      <c r="J78" s="100"/>
      <c r="L78" s="629"/>
      <c r="M78" s="630"/>
      <c r="N78" s="272"/>
      <c r="O78" s="631"/>
    </row>
    <row r="79" spans="1:17" s="258" customFormat="1" ht="27" customHeight="1">
      <c r="A79" s="255">
        <v>9</v>
      </c>
      <c r="B79" s="93" t="s">
        <v>380</v>
      </c>
      <c r="C79" s="183" t="s">
        <v>387</v>
      </c>
      <c r="D79" s="183" t="s">
        <v>388</v>
      </c>
      <c r="E79" s="183" t="s">
        <v>48</v>
      </c>
      <c r="F79" s="282">
        <f>SUM(F81:F81)</f>
        <v>3.3</v>
      </c>
      <c r="G79" s="276">
        <v>740</v>
      </c>
      <c r="H79" s="138">
        <f>F79*G79</f>
        <v>2442</v>
      </c>
      <c r="I79" s="99" t="s">
        <v>49</v>
      </c>
      <c r="J79" s="100"/>
      <c r="K79" s="608"/>
      <c r="L79" s="629"/>
      <c r="M79" s="630"/>
      <c r="N79" s="272"/>
      <c r="O79" s="631"/>
    </row>
    <row r="80" spans="1:17" s="258" customFormat="1" ht="13.5" customHeight="1">
      <c r="A80" s="255"/>
      <c r="B80" s="182"/>
      <c r="C80" s="183"/>
      <c r="D80" s="273" t="s">
        <v>389</v>
      </c>
      <c r="E80" s="183"/>
      <c r="F80" s="257"/>
      <c r="G80" s="256"/>
      <c r="H80" s="256"/>
      <c r="I80" s="256"/>
      <c r="J80" s="100"/>
      <c r="K80" s="607"/>
      <c r="L80" s="629"/>
      <c r="M80" s="630"/>
      <c r="N80" s="272"/>
      <c r="O80" s="631"/>
    </row>
    <row r="81" spans="1:18" s="258" customFormat="1" ht="13.5" customHeight="1">
      <c r="A81" s="255"/>
      <c r="B81" s="182"/>
      <c r="C81" s="183"/>
      <c r="D81" s="281" t="s">
        <v>495</v>
      </c>
      <c r="E81" s="281"/>
      <c r="F81" s="283">
        <f>3.3</f>
        <v>3.3</v>
      </c>
      <c r="G81" s="256"/>
      <c r="H81" s="256"/>
      <c r="I81" s="256"/>
      <c r="J81" s="100"/>
      <c r="K81" s="607"/>
      <c r="L81" s="629"/>
      <c r="M81" s="630"/>
      <c r="N81" s="272"/>
      <c r="O81" s="631"/>
    </row>
    <row r="82" spans="1:18" s="258" customFormat="1" ht="66.900000000000006" customHeight="1">
      <c r="A82" s="255"/>
      <c r="B82" s="182"/>
      <c r="C82" s="183"/>
      <c r="D82" s="273" t="s">
        <v>390</v>
      </c>
      <c r="E82" s="183"/>
      <c r="F82" s="278"/>
      <c r="G82" s="256"/>
      <c r="H82" s="256"/>
      <c r="I82" s="256"/>
      <c r="J82" s="100"/>
      <c r="K82" s="637"/>
      <c r="L82" s="629"/>
      <c r="M82" s="630"/>
      <c r="N82" s="272"/>
      <c r="O82" s="631"/>
    </row>
    <row r="83" spans="1:18" s="258" customFormat="1" ht="27" customHeight="1">
      <c r="A83" s="255"/>
      <c r="B83" s="182"/>
      <c r="C83" s="183"/>
      <c r="D83" s="273" t="s">
        <v>391</v>
      </c>
      <c r="E83" s="183"/>
      <c r="F83" s="278"/>
      <c r="G83" s="256"/>
      <c r="H83" s="256"/>
      <c r="I83" s="256"/>
      <c r="J83" s="100"/>
      <c r="K83" s="638"/>
      <c r="L83" s="629"/>
      <c r="M83" s="630"/>
      <c r="N83" s="272"/>
      <c r="O83" s="631"/>
    </row>
    <row r="84" spans="1:18" s="258" customFormat="1" ht="67.5" customHeight="1">
      <c r="A84" s="284"/>
      <c r="B84" s="279"/>
      <c r="C84" s="277"/>
      <c r="D84" s="108" t="s">
        <v>57</v>
      </c>
      <c r="E84" s="273"/>
      <c r="F84" s="278"/>
      <c r="G84" s="256"/>
      <c r="H84" s="256"/>
      <c r="I84" s="256"/>
      <c r="J84" s="100"/>
      <c r="L84" s="629"/>
      <c r="M84" s="630"/>
      <c r="N84" s="272"/>
      <c r="O84" s="631"/>
    </row>
    <row r="85" spans="1:18" s="258" customFormat="1" ht="13.5" customHeight="1">
      <c r="A85" s="285">
        <v>10</v>
      </c>
      <c r="B85" s="241" t="s">
        <v>380</v>
      </c>
      <c r="C85" s="241" t="s">
        <v>392</v>
      </c>
      <c r="D85" s="241" t="s">
        <v>393</v>
      </c>
      <c r="E85" s="241" t="s">
        <v>48</v>
      </c>
      <c r="F85" s="236">
        <f>SUM(F86)</f>
        <v>10.8</v>
      </c>
      <c r="G85" s="236">
        <v>960</v>
      </c>
      <c r="H85" s="138">
        <f>F85*G85</f>
        <v>10368</v>
      </c>
      <c r="I85" s="99" t="s">
        <v>49</v>
      </c>
      <c r="J85" s="100"/>
      <c r="K85" s="606"/>
      <c r="L85" s="632"/>
      <c r="M85" s="632"/>
      <c r="N85" s="606"/>
      <c r="O85" s="539"/>
    </row>
    <row r="86" spans="1:18" s="243" customFormat="1" ht="13.5" customHeight="1">
      <c r="A86" s="239"/>
      <c r="B86" s="240"/>
      <c r="C86" s="241"/>
      <c r="D86" s="250" t="s">
        <v>494</v>
      </c>
      <c r="E86" s="241"/>
      <c r="F86" s="246">
        <v>10.8</v>
      </c>
      <c r="G86" s="242"/>
      <c r="H86" s="242"/>
      <c r="I86" s="242"/>
      <c r="J86" s="100"/>
      <c r="K86" s="258"/>
      <c r="L86" s="600"/>
      <c r="N86" s="601"/>
    </row>
    <row r="87" spans="1:18" s="258" customFormat="1" ht="13.5" customHeight="1">
      <c r="A87" s="285"/>
      <c r="B87" s="178"/>
      <c r="C87" s="178"/>
      <c r="D87" s="179" t="s">
        <v>394</v>
      </c>
      <c r="E87" s="178"/>
      <c r="F87" s="180"/>
      <c r="G87" s="180"/>
      <c r="H87" s="236"/>
      <c r="I87" s="236"/>
      <c r="J87" s="100"/>
      <c r="L87" s="632"/>
      <c r="M87" s="632"/>
      <c r="N87" s="606"/>
    </row>
    <row r="88" spans="1:18" s="258" customFormat="1" ht="27" customHeight="1">
      <c r="A88" s="285"/>
      <c r="B88" s="178"/>
      <c r="C88" s="178"/>
      <c r="D88" s="179" t="s">
        <v>395</v>
      </c>
      <c r="E88" s="178"/>
      <c r="F88" s="180"/>
      <c r="G88" s="180"/>
      <c r="H88" s="236"/>
      <c r="I88" s="236"/>
      <c r="J88" s="100"/>
      <c r="L88" s="632"/>
      <c r="M88" s="632"/>
      <c r="N88" s="606"/>
    </row>
    <row r="89" spans="1:18" s="258" customFormat="1" ht="27" customHeight="1">
      <c r="A89" s="285"/>
      <c r="B89" s="178"/>
      <c r="C89" s="178"/>
      <c r="D89" s="179" t="s">
        <v>396</v>
      </c>
      <c r="E89" s="178"/>
      <c r="F89" s="180"/>
      <c r="G89" s="180"/>
      <c r="H89" s="236"/>
      <c r="I89" s="236"/>
      <c r="J89" s="100"/>
      <c r="K89" s="606"/>
      <c r="L89" s="632"/>
      <c r="M89" s="632"/>
      <c r="N89" s="606"/>
    </row>
    <row r="90" spans="1:18" s="258" customFormat="1" ht="66.900000000000006" customHeight="1">
      <c r="A90" s="285"/>
      <c r="B90" s="177"/>
      <c r="C90" s="178"/>
      <c r="D90" s="108" t="s">
        <v>57</v>
      </c>
      <c r="E90" s="179"/>
      <c r="F90" s="246"/>
      <c r="G90" s="236"/>
      <c r="H90" s="236"/>
      <c r="I90" s="236"/>
      <c r="J90" s="100"/>
      <c r="K90" s="606"/>
      <c r="L90" s="632"/>
      <c r="M90" s="632"/>
      <c r="N90" s="606"/>
      <c r="O90" s="639"/>
    </row>
    <row r="91" spans="1:18" s="134" customFormat="1" ht="13.5" customHeight="1">
      <c r="A91" s="181">
        <v>11</v>
      </c>
      <c r="B91" s="182" t="s">
        <v>176</v>
      </c>
      <c r="C91" s="183" t="s">
        <v>177</v>
      </c>
      <c r="D91" s="183" t="s">
        <v>178</v>
      </c>
      <c r="E91" s="136" t="s">
        <v>48</v>
      </c>
      <c r="F91" s="184">
        <f>SUM(F92)</f>
        <v>123.1</v>
      </c>
      <c r="G91" s="138">
        <v>594.6</v>
      </c>
      <c r="H91" s="138">
        <f>F91*G91</f>
        <v>73195.259999999995</v>
      </c>
      <c r="I91" s="99" t="s">
        <v>58</v>
      </c>
      <c r="J91" s="100"/>
      <c r="K91" s="640"/>
      <c r="N91" s="530"/>
      <c r="P91" s="531"/>
    </row>
    <row r="92" spans="1:18" s="134" customFormat="1" ht="13.5" customHeight="1">
      <c r="A92" s="181"/>
      <c r="B92" s="182"/>
      <c r="C92" s="183"/>
      <c r="D92" s="185" t="s">
        <v>491</v>
      </c>
      <c r="E92" s="136"/>
      <c r="F92" s="113">
        <v>123.1</v>
      </c>
      <c r="G92" s="138"/>
      <c r="H92" s="138"/>
      <c r="I92" s="138"/>
      <c r="J92" s="100"/>
      <c r="K92" s="640"/>
      <c r="L92" s="186"/>
      <c r="M92" s="186"/>
      <c r="N92" s="530"/>
      <c r="O92" s="186"/>
      <c r="P92" s="187"/>
      <c r="Q92" s="186"/>
    </row>
    <row r="93" spans="1:18" s="134" customFormat="1" ht="13.5" customHeight="1">
      <c r="A93" s="181"/>
      <c r="B93" s="182"/>
      <c r="C93" s="183"/>
      <c r="D93" s="185" t="s">
        <v>80</v>
      </c>
      <c r="E93" s="136"/>
      <c r="F93" s="389"/>
      <c r="G93" s="138"/>
      <c r="H93" s="138"/>
      <c r="I93" s="138"/>
      <c r="J93" s="100"/>
      <c r="K93" s="640"/>
      <c r="N93" s="530"/>
      <c r="P93" s="531"/>
      <c r="R93" s="186"/>
    </row>
    <row r="94" spans="1:18" s="134" customFormat="1" ht="13.5" customHeight="1">
      <c r="A94" s="181"/>
      <c r="B94" s="182"/>
      <c r="C94" s="183"/>
      <c r="D94" s="185" t="s">
        <v>179</v>
      </c>
      <c r="E94" s="136"/>
      <c r="F94" s="137"/>
      <c r="G94" s="138"/>
      <c r="H94" s="138"/>
      <c r="I94" s="188"/>
      <c r="J94" s="100"/>
      <c r="K94" s="640"/>
      <c r="N94" s="530"/>
      <c r="P94" s="531"/>
      <c r="R94" s="186"/>
    </row>
    <row r="95" spans="1:18" s="134" customFormat="1" ht="13.5" customHeight="1">
      <c r="A95" s="181"/>
      <c r="B95" s="182"/>
      <c r="C95" s="183"/>
      <c r="D95" s="185" t="s">
        <v>180</v>
      </c>
      <c r="E95" s="136"/>
      <c r="F95" s="137"/>
      <c r="G95" s="138"/>
      <c r="H95" s="138"/>
      <c r="I95" s="188"/>
      <c r="J95" s="100"/>
      <c r="K95" s="640"/>
      <c r="N95" s="530"/>
      <c r="P95" s="531"/>
      <c r="R95" s="186"/>
    </row>
    <row r="96" spans="1:18" s="134" customFormat="1" ht="13.5" customHeight="1">
      <c r="A96" s="181"/>
      <c r="B96" s="182"/>
      <c r="C96" s="183"/>
      <c r="D96" s="185" t="s">
        <v>181</v>
      </c>
      <c r="E96" s="136"/>
      <c r="F96" s="137"/>
      <c r="G96" s="138"/>
      <c r="H96" s="138"/>
      <c r="I96" s="188"/>
      <c r="J96" s="100"/>
      <c r="K96" s="640"/>
      <c r="N96" s="530"/>
      <c r="P96" s="531"/>
      <c r="R96" s="186"/>
    </row>
    <row r="97" spans="1:18" s="134" customFormat="1" ht="13.5" customHeight="1">
      <c r="A97" s="181"/>
      <c r="B97" s="182"/>
      <c r="C97" s="183"/>
      <c r="D97" s="185" t="s">
        <v>182</v>
      </c>
      <c r="E97" s="136"/>
      <c r="F97" s="137"/>
      <c r="G97" s="138"/>
      <c r="H97" s="138"/>
      <c r="I97" s="188"/>
      <c r="J97" s="100"/>
      <c r="K97" s="640"/>
      <c r="N97" s="530"/>
      <c r="P97" s="531"/>
      <c r="R97" s="186"/>
    </row>
    <row r="98" spans="1:18" s="134" customFormat="1" ht="13.5" customHeight="1">
      <c r="A98" s="181"/>
      <c r="B98" s="182"/>
      <c r="C98" s="183"/>
      <c r="D98" s="185" t="s">
        <v>183</v>
      </c>
      <c r="E98" s="136"/>
      <c r="F98" s="137"/>
      <c r="G98" s="138"/>
      <c r="H98" s="138"/>
      <c r="I98" s="188"/>
      <c r="J98" s="100"/>
      <c r="K98" s="640"/>
      <c r="N98" s="530"/>
      <c r="P98" s="531"/>
      <c r="R98" s="186"/>
    </row>
    <row r="99" spans="1:18" s="186" customFormat="1" ht="13.5" customHeight="1">
      <c r="A99" s="135"/>
      <c r="B99" s="189"/>
      <c r="C99" s="189"/>
      <c r="D99" s="185" t="s">
        <v>184</v>
      </c>
      <c r="E99" s="189"/>
      <c r="F99" s="390"/>
      <c r="G99" s="190"/>
      <c r="H99" s="138"/>
      <c r="I99" s="188"/>
      <c r="J99" s="100"/>
    </row>
    <row r="100" spans="1:18" s="100" customFormat="1" ht="13.5" customHeight="1">
      <c r="A100" s="96">
        <v>12</v>
      </c>
      <c r="B100" s="105" t="s">
        <v>176</v>
      </c>
      <c r="C100" s="97" t="s">
        <v>185</v>
      </c>
      <c r="D100" s="97" t="s">
        <v>186</v>
      </c>
      <c r="E100" s="97" t="s">
        <v>48</v>
      </c>
      <c r="F100" s="98">
        <f>SUM(F102:F102)</f>
        <v>53.11</v>
      </c>
      <c r="G100" s="106">
        <v>86.8</v>
      </c>
      <c r="H100" s="138">
        <f>F100*G100</f>
        <v>4609.9479999999994</v>
      </c>
      <c r="I100" s="99" t="s">
        <v>49</v>
      </c>
      <c r="K100" s="543"/>
      <c r="L100" s="545"/>
      <c r="M100" s="111"/>
      <c r="N100" s="544"/>
    </row>
    <row r="101" spans="1:18" s="145" customFormat="1" ht="13.5" customHeight="1">
      <c r="A101" s="140"/>
      <c r="B101" s="141"/>
      <c r="C101" s="141"/>
      <c r="D101" s="101" t="s">
        <v>187</v>
      </c>
      <c r="E101" s="141"/>
      <c r="F101" s="161"/>
      <c r="G101" s="143"/>
      <c r="H101" s="143"/>
      <c r="I101" s="159"/>
      <c r="J101" s="100"/>
      <c r="K101" s="543"/>
      <c r="L101" s="545"/>
      <c r="M101" s="111"/>
      <c r="N101" s="544"/>
    </row>
    <row r="102" spans="1:18" s="145" customFormat="1" ht="13.5" customHeight="1">
      <c r="A102" s="140"/>
      <c r="B102" s="141"/>
      <c r="C102" s="141"/>
      <c r="D102" s="101" t="s">
        <v>60</v>
      </c>
      <c r="E102" s="141"/>
      <c r="F102" s="113">
        <f>12.49+18.46+3.15+7.32+1.08+4.38+1.5+4.73</f>
        <v>53.11</v>
      </c>
      <c r="G102" s="143"/>
      <c r="H102" s="143"/>
      <c r="I102" s="159"/>
      <c r="J102" s="100"/>
      <c r="K102" s="543"/>
      <c r="L102" s="545"/>
      <c r="M102" s="111"/>
      <c r="N102" s="544"/>
    </row>
    <row r="103" spans="1:18" s="100" customFormat="1" ht="13.5" customHeight="1">
      <c r="A103" s="96">
        <v>13</v>
      </c>
      <c r="B103" s="105" t="s">
        <v>114</v>
      </c>
      <c r="C103" s="97" t="s">
        <v>188</v>
      </c>
      <c r="D103" s="97" t="s">
        <v>189</v>
      </c>
      <c r="E103" s="97" t="s">
        <v>48</v>
      </c>
      <c r="F103" s="98">
        <f>SUM(F104:F104)</f>
        <v>53.11</v>
      </c>
      <c r="G103" s="106">
        <v>167</v>
      </c>
      <c r="H103" s="138">
        <f>F103*G103</f>
        <v>8869.3700000000008</v>
      </c>
      <c r="I103" s="99" t="s">
        <v>49</v>
      </c>
      <c r="K103" s="543"/>
      <c r="L103" s="545"/>
      <c r="M103" s="111"/>
      <c r="N103" s="544"/>
    </row>
    <row r="104" spans="1:18" s="145" customFormat="1" ht="13.5" customHeight="1">
      <c r="A104" s="140"/>
      <c r="B104" s="141"/>
      <c r="C104" s="141"/>
      <c r="D104" s="101" t="s">
        <v>60</v>
      </c>
      <c r="E104" s="141"/>
      <c r="F104" s="113">
        <f>12.49+18.46+3.15+7.32+1.08+4.38+1.5+4.73</f>
        <v>53.11</v>
      </c>
      <c r="G104" s="143"/>
      <c r="H104" s="143"/>
      <c r="I104" s="159"/>
      <c r="J104" s="100"/>
      <c r="K104" s="543"/>
      <c r="L104" s="545"/>
      <c r="M104" s="111"/>
      <c r="N104" s="544"/>
    </row>
    <row r="105" spans="1:18" s="100" customFormat="1" ht="13.5" customHeight="1">
      <c r="A105" s="146"/>
      <c r="B105" s="147"/>
      <c r="C105" s="147" t="s">
        <v>52</v>
      </c>
      <c r="D105" s="147" t="s">
        <v>53</v>
      </c>
      <c r="E105" s="147"/>
      <c r="F105" s="191"/>
      <c r="G105" s="149"/>
      <c r="H105" s="149">
        <f>SUM(H106:H108)</f>
        <v>186400</v>
      </c>
      <c r="I105" s="109"/>
      <c r="K105" s="544"/>
      <c r="L105" s="545"/>
      <c r="M105" s="111"/>
      <c r="N105" s="544"/>
      <c r="Q105" s="561"/>
    </row>
    <row r="106" spans="1:18" s="100" customFormat="1" ht="13.5" customHeight="1">
      <c r="A106" s="192">
        <v>14</v>
      </c>
      <c r="B106" s="105" t="s">
        <v>114</v>
      </c>
      <c r="C106" s="97" t="s">
        <v>83</v>
      </c>
      <c r="D106" s="97" t="s">
        <v>190</v>
      </c>
      <c r="E106" s="193" t="s">
        <v>23</v>
      </c>
      <c r="F106" s="194">
        <f>SUM(F107)</f>
        <v>1</v>
      </c>
      <c r="G106" s="106">
        <v>186400</v>
      </c>
      <c r="H106" s="138">
        <f>F106*G106</f>
        <v>186400</v>
      </c>
      <c r="I106" s="99" t="s">
        <v>58</v>
      </c>
      <c r="K106" s="544"/>
      <c r="L106" s="545"/>
      <c r="M106" s="111"/>
      <c r="N106" s="544"/>
      <c r="Q106" s="561"/>
    </row>
    <row r="107" spans="1:18" s="100" customFormat="1" ht="13.5" customHeight="1">
      <c r="A107" s="192"/>
      <c r="B107" s="105"/>
      <c r="C107" s="97"/>
      <c r="D107" s="101" t="s">
        <v>191</v>
      </c>
      <c r="E107" s="193"/>
      <c r="F107" s="162">
        <v>1</v>
      </c>
      <c r="G107" s="106"/>
      <c r="H107" s="381"/>
      <c r="I107" s="99"/>
      <c r="K107" s="544"/>
      <c r="L107" s="545"/>
      <c r="M107" s="111"/>
      <c r="N107" s="544"/>
    </row>
    <row r="108" spans="1:18" s="100" customFormat="1" ht="148.5" customHeight="1">
      <c r="A108" s="192"/>
      <c r="B108" s="105"/>
      <c r="C108" s="97"/>
      <c r="D108" s="195" t="s">
        <v>378</v>
      </c>
      <c r="E108" s="193"/>
      <c r="F108" s="162"/>
      <c r="G108" s="106"/>
      <c r="H108" s="381"/>
      <c r="I108" s="99"/>
      <c r="K108" s="544"/>
      <c r="L108" s="545"/>
      <c r="M108" s="111"/>
      <c r="N108" s="544"/>
    </row>
    <row r="109" spans="1:18" s="134" customFormat="1" ht="21" customHeight="1">
      <c r="A109" s="198"/>
      <c r="B109" s="199"/>
      <c r="C109" s="199" t="s">
        <v>55</v>
      </c>
      <c r="D109" s="199" t="s">
        <v>56</v>
      </c>
      <c r="E109" s="199"/>
      <c r="F109" s="200"/>
      <c r="G109" s="201"/>
      <c r="H109" s="201">
        <f>H110+H122+H139+H173+H179+H194+H209+H227+H242</f>
        <v>1617079.3802800002</v>
      </c>
      <c r="I109" s="202"/>
      <c r="J109" s="100"/>
      <c r="K109" s="533"/>
      <c r="N109" s="530"/>
    </row>
    <row r="110" spans="1:18" s="100" customFormat="1" ht="13.5" customHeight="1">
      <c r="A110" s="146"/>
      <c r="B110" s="147"/>
      <c r="C110" s="147" t="s">
        <v>192</v>
      </c>
      <c r="D110" s="147" t="s">
        <v>88</v>
      </c>
      <c r="E110" s="147"/>
      <c r="F110" s="148"/>
      <c r="G110" s="149"/>
      <c r="H110" s="382">
        <f>SUM(H111:H121)</f>
        <v>50194.8</v>
      </c>
      <c r="I110" s="109"/>
    </row>
    <row r="111" spans="1:18" s="100" customFormat="1" ht="13.5" customHeight="1">
      <c r="A111" s="165">
        <v>15</v>
      </c>
      <c r="B111" s="97">
        <v>711</v>
      </c>
      <c r="C111" s="97" t="s">
        <v>193</v>
      </c>
      <c r="D111" s="97" t="s">
        <v>194</v>
      </c>
      <c r="E111" s="97" t="s">
        <v>48</v>
      </c>
      <c r="F111" s="98">
        <f>SUM(F112:F112)</f>
        <v>98.04</v>
      </c>
      <c r="G111" s="98">
        <v>370</v>
      </c>
      <c r="H111" s="138">
        <f>F111*G111</f>
        <v>36274.800000000003</v>
      </c>
      <c r="I111" s="99" t="s">
        <v>49</v>
      </c>
    </row>
    <row r="112" spans="1:18" s="186" customFormat="1" ht="13.5" customHeight="1">
      <c r="A112" s="135"/>
      <c r="B112" s="189"/>
      <c r="C112" s="189"/>
      <c r="D112" s="185" t="s">
        <v>496</v>
      </c>
      <c r="E112" s="189"/>
      <c r="F112" s="113">
        <f>81.7*1.2</f>
        <v>98.04</v>
      </c>
      <c r="G112" s="190"/>
      <c r="H112" s="138"/>
      <c r="I112" s="188"/>
      <c r="J112" s="100"/>
      <c r="K112" s="533"/>
      <c r="N112" s="530"/>
      <c r="R112" s="134"/>
    </row>
    <row r="113" spans="1:18" s="186" customFormat="1" ht="13.5" customHeight="1">
      <c r="A113" s="135"/>
      <c r="B113" s="189"/>
      <c r="C113" s="189"/>
      <c r="D113" s="185" t="s">
        <v>80</v>
      </c>
      <c r="E113" s="189"/>
      <c r="F113" s="390"/>
      <c r="G113" s="190"/>
      <c r="H113" s="138"/>
      <c r="I113" s="188"/>
      <c r="J113" s="100"/>
      <c r="K113" s="533"/>
      <c r="N113" s="530"/>
      <c r="R113" s="134"/>
    </row>
    <row r="114" spans="1:18" s="134" customFormat="1" ht="13.5" customHeight="1">
      <c r="A114" s="135"/>
      <c r="B114" s="136"/>
      <c r="C114" s="136"/>
      <c r="D114" s="185" t="s">
        <v>196</v>
      </c>
      <c r="E114" s="136"/>
      <c r="F114" s="184"/>
      <c r="G114" s="138"/>
      <c r="H114" s="138"/>
      <c r="I114" s="188"/>
      <c r="J114" s="100"/>
      <c r="K114" s="533"/>
      <c r="L114" s="186"/>
      <c r="N114" s="530"/>
    </row>
    <row r="115" spans="1:18" s="134" customFormat="1" ht="13.5" customHeight="1">
      <c r="A115" s="135"/>
      <c r="B115" s="136"/>
      <c r="C115" s="136"/>
      <c r="D115" s="185" t="s">
        <v>197</v>
      </c>
      <c r="E115" s="136"/>
      <c r="F115" s="184"/>
      <c r="G115" s="138"/>
      <c r="H115" s="138"/>
      <c r="I115" s="188"/>
      <c r="J115" s="100"/>
      <c r="K115" s="533"/>
      <c r="N115" s="530"/>
      <c r="O115" s="186"/>
    </row>
    <row r="116" spans="1:18" s="134" customFormat="1" ht="27" customHeight="1">
      <c r="A116" s="135"/>
      <c r="B116" s="136"/>
      <c r="C116" s="136"/>
      <c r="D116" s="185" t="s">
        <v>198</v>
      </c>
      <c r="E116" s="136"/>
      <c r="F116" s="184"/>
      <c r="G116" s="138"/>
      <c r="H116" s="138"/>
      <c r="I116" s="188"/>
      <c r="J116" s="100"/>
      <c r="K116" s="533"/>
      <c r="L116" s="186"/>
      <c r="N116" s="530"/>
    </row>
    <row r="117" spans="1:18" s="186" customFormat="1" ht="13.5" customHeight="1">
      <c r="A117" s="135"/>
      <c r="B117" s="189"/>
      <c r="C117" s="189"/>
      <c r="D117" s="185" t="s">
        <v>82</v>
      </c>
      <c r="E117" s="189"/>
      <c r="F117" s="137"/>
      <c r="G117" s="190"/>
      <c r="H117" s="138"/>
      <c r="I117" s="188"/>
      <c r="J117" s="100"/>
      <c r="K117" s="533"/>
      <c r="N117" s="530"/>
      <c r="R117" s="134"/>
    </row>
    <row r="118" spans="1:18" s="100" customFormat="1" ht="13.5" customHeight="1">
      <c r="A118" s="146"/>
      <c r="B118" s="147"/>
      <c r="C118" s="147"/>
      <c r="D118" s="185" t="s">
        <v>199</v>
      </c>
      <c r="E118" s="147"/>
      <c r="F118" s="148"/>
      <c r="G118" s="149"/>
      <c r="H118" s="382"/>
      <c r="I118" s="109"/>
    </row>
    <row r="119" spans="1:18" s="100" customFormat="1" ht="13.5" customHeight="1">
      <c r="A119" s="165">
        <v>16</v>
      </c>
      <c r="B119" s="97" t="s">
        <v>54</v>
      </c>
      <c r="C119" s="97" t="s">
        <v>200</v>
      </c>
      <c r="D119" s="97" t="s">
        <v>201</v>
      </c>
      <c r="E119" s="97" t="s">
        <v>44</v>
      </c>
      <c r="F119" s="98">
        <f>F120</f>
        <v>30</v>
      </c>
      <c r="G119" s="98">
        <v>464</v>
      </c>
      <c r="H119" s="138">
        <f>F119*G119</f>
        <v>13920</v>
      </c>
      <c r="I119" s="99" t="s">
        <v>45</v>
      </c>
    </row>
    <row r="120" spans="1:18" s="111" customFormat="1" ht="13.5" customHeight="1">
      <c r="A120" s="165"/>
      <c r="B120" s="105"/>
      <c r="C120" s="97"/>
      <c r="D120" s="101" t="s">
        <v>202</v>
      </c>
      <c r="E120" s="97"/>
      <c r="F120" s="113">
        <v>30</v>
      </c>
      <c r="G120" s="98"/>
      <c r="H120" s="98"/>
      <c r="I120" s="99"/>
      <c r="J120" s="100"/>
    </row>
    <row r="121" spans="1:18" s="111" customFormat="1" ht="13.5" customHeight="1">
      <c r="A121" s="165"/>
      <c r="B121" s="105"/>
      <c r="C121" s="97"/>
      <c r="D121" s="101" t="s">
        <v>203</v>
      </c>
      <c r="E121" s="97"/>
      <c r="F121" s="113"/>
      <c r="G121" s="98"/>
      <c r="H121" s="98"/>
      <c r="I121" s="99"/>
      <c r="J121" s="100"/>
    </row>
    <row r="122" spans="1:18" s="100" customFormat="1" ht="13.5" customHeight="1">
      <c r="A122" s="146"/>
      <c r="B122" s="147"/>
      <c r="C122" s="147">
        <v>712</v>
      </c>
      <c r="D122" s="147" t="s">
        <v>89</v>
      </c>
      <c r="E122" s="147"/>
      <c r="F122" s="191"/>
      <c r="G122" s="149"/>
      <c r="H122" s="149">
        <f>SUM(H123:H138)</f>
        <v>416960</v>
      </c>
      <c r="I122" s="109"/>
      <c r="K122" s="569"/>
    </row>
    <row r="123" spans="1:18" s="78" customFormat="1" ht="13.5" customHeight="1">
      <c r="A123" s="203" t="s">
        <v>79</v>
      </c>
      <c r="B123" s="204" t="s">
        <v>204</v>
      </c>
      <c r="C123" s="73" t="s">
        <v>205</v>
      </c>
      <c r="D123" s="73" t="s">
        <v>206</v>
      </c>
      <c r="E123" s="73" t="s">
        <v>23</v>
      </c>
      <c r="F123" s="205">
        <f>SUM(F124:F124)</f>
        <v>1</v>
      </c>
      <c r="G123" s="206">
        <v>410000</v>
      </c>
      <c r="H123" s="138">
        <f>F123*G123</f>
        <v>410000</v>
      </c>
      <c r="I123" s="196" t="s">
        <v>49</v>
      </c>
      <c r="J123" s="100"/>
    </row>
    <row r="124" spans="1:18" s="78" customFormat="1" ht="13.5" customHeight="1">
      <c r="A124" s="203"/>
      <c r="B124" s="204"/>
      <c r="C124" s="73"/>
      <c r="D124" s="185" t="s">
        <v>497</v>
      </c>
      <c r="E124" s="185"/>
      <c r="F124" s="207">
        <v>1</v>
      </c>
      <c r="G124" s="206"/>
      <c r="H124" s="215"/>
      <c r="I124" s="196"/>
      <c r="J124" s="100"/>
    </row>
    <row r="125" spans="1:18" s="186" customFormat="1" ht="13.5" customHeight="1">
      <c r="A125" s="135"/>
      <c r="B125" s="189"/>
      <c r="C125" s="189"/>
      <c r="D125" s="185" t="s">
        <v>80</v>
      </c>
      <c r="E125" s="189"/>
      <c r="F125" s="390"/>
      <c r="G125" s="190"/>
      <c r="H125" s="138"/>
      <c r="I125" s="196"/>
      <c r="J125" s="100"/>
      <c r="K125" s="533"/>
      <c r="N125" s="530"/>
      <c r="R125" s="134"/>
    </row>
    <row r="126" spans="1:18" s="134" customFormat="1" ht="13.5" customHeight="1">
      <c r="A126" s="135"/>
      <c r="B126" s="136"/>
      <c r="C126" s="136"/>
      <c r="D126" s="185" t="s">
        <v>500</v>
      </c>
      <c r="E126" s="136"/>
      <c r="F126" s="184"/>
      <c r="G126" s="138"/>
      <c r="H126" s="138"/>
      <c r="I126" s="188"/>
      <c r="J126" s="100"/>
      <c r="K126" s="533"/>
      <c r="L126" s="186"/>
      <c r="N126" s="530"/>
    </row>
    <row r="127" spans="1:18" s="134" customFormat="1" ht="13.5" customHeight="1">
      <c r="A127" s="135"/>
      <c r="B127" s="136"/>
      <c r="C127" s="136"/>
      <c r="D127" s="185" t="s">
        <v>207</v>
      </c>
      <c r="E127" s="136"/>
      <c r="F127" s="184"/>
      <c r="G127" s="138"/>
      <c r="H127" s="138"/>
      <c r="I127" s="188"/>
      <c r="J127" s="100"/>
      <c r="K127" s="533"/>
      <c r="L127" s="186"/>
      <c r="N127" s="530"/>
    </row>
    <row r="128" spans="1:18" s="134" customFormat="1" ht="27" customHeight="1">
      <c r="A128" s="135"/>
      <c r="B128" s="136"/>
      <c r="C128" s="136"/>
      <c r="D128" s="185" t="s">
        <v>208</v>
      </c>
      <c r="E128" s="136"/>
      <c r="F128" s="184"/>
      <c r="G128" s="138"/>
      <c r="H128" s="138"/>
      <c r="I128" s="188"/>
      <c r="J128" s="100"/>
      <c r="K128" s="533"/>
      <c r="L128" s="186"/>
      <c r="N128" s="530"/>
    </row>
    <row r="129" spans="1:18" s="134" customFormat="1" ht="13.5" customHeight="1">
      <c r="A129" s="135"/>
      <c r="B129" s="136"/>
      <c r="C129" s="136"/>
      <c r="D129" s="185" t="s">
        <v>209</v>
      </c>
      <c r="E129" s="136"/>
      <c r="F129" s="184"/>
      <c r="G129" s="138"/>
      <c r="H129" s="138"/>
      <c r="I129" s="188"/>
      <c r="J129" s="100"/>
      <c r="K129" s="533"/>
      <c r="L129" s="186"/>
      <c r="N129" s="530"/>
    </row>
    <row r="130" spans="1:18" s="134" customFormat="1" ht="13.5" customHeight="1">
      <c r="A130" s="135"/>
      <c r="B130" s="136"/>
      <c r="C130" s="136"/>
      <c r="D130" s="185" t="s">
        <v>210</v>
      </c>
      <c r="E130" s="136"/>
      <c r="F130" s="184"/>
      <c r="G130" s="138"/>
      <c r="H130" s="138"/>
      <c r="I130" s="188"/>
      <c r="J130" s="100"/>
      <c r="K130" s="533"/>
      <c r="L130" s="186"/>
      <c r="N130" s="530"/>
    </row>
    <row r="131" spans="1:18" s="134" customFormat="1" ht="13.5" customHeight="1">
      <c r="A131" s="135"/>
      <c r="B131" s="136"/>
      <c r="C131" s="136"/>
      <c r="D131" s="185" t="s">
        <v>197</v>
      </c>
      <c r="E131" s="136"/>
      <c r="F131" s="184"/>
      <c r="G131" s="138"/>
      <c r="H131" s="138"/>
      <c r="I131" s="188"/>
      <c r="J131" s="100"/>
      <c r="K131" s="533"/>
      <c r="N131" s="530"/>
      <c r="O131" s="186"/>
    </row>
    <row r="132" spans="1:18" s="134" customFormat="1" ht="13.5" customHeight="1">
      <c r="A132" s="135"/>
      <c r="B132" s="136"/>
      <c r="C132" s="136"/>
      <c r="D132" s="185" t="s">
        <v>211</v>
      </c>
      <c r="E132" s="136"/>
      <c r="F132" s="184"/>
      <c r="G132" s="138"/>
      <c r="H132" s="138"/>
      <c r="I132" s="188"/>
      <c r="J132" s="100"/>
      <c r="K132" s="533"/>
      <c r="N132" s="530"/>
      <c r="O132" s="186"/>
    </row>
    <row r="133" spans="1:18" s="134" customFormat="1" ht="27" customHeight="1">
      <c r="A133" s="135"/>
      <c r="B133" s="136"/>
      <c r="C133" s="136"/>
      <c r="D133" s="185" t="s">
        <v>498</v>
      </c>
      <c r="E133" s="136"/>
      <c r="F133" s="184"/>
      <c r="G133" s="138"/>
      <c r="H133" s="138"/>
      <c r="I133" s="188"/>
      <c r="J133" s="100"/>
      <c r="K133" s="533"/>
      <c r="L133" s="186"/>
      <c r="N133" s="530"/>
    </row>
    <row r="134" spans="1:18" s="186" customFormat="1" ht="13.5" customHeight="1">
      <c r="A134" s="135"/>
      <c r="B134" s="189"/>
      <c r="C134" s="189"/>
      <c r="D134" s="185" t="s">
        <v>82</v>
      </c>
      <c r="E134" s="189"/>
      <c r="F134" s="137"/>
      <c r="G134" s="190"/>
      <c r="H134" s="138"/>
      <c r="I134" s="188"/>
      <c r="J134" s="100"/>
      <c r="K134" s="533"/>
      <c r="N134" s="530"/>
      <c r="R134" s="134"/>
    </row>
    <row r="135" spans="1:18" s="78" customFormat="1" ht="13.5" customHeight="1">
      <c r="A135" s="208"/>
      <c r="B135" s="209"/>
      <c r="C135" s="209"/>
      <c r="D135" s="185" t="s">
        <v>213</v>
      </c>
      <c r="E135" s="209"/>
      <c r="F135" s="210"/>
      <c r="G135" s="211"/>
      <c r="H135" s="382"/>
      <c r="I135" s="212"/>
      <c r="J135" s="100"/>
    </row>
    <row r="136" spans="1:18" s="216" customFormat="1" ht="13.5" customHeight="1">
      <c r="A136" s="213">
        <v>18</v>
      </c>
      <c r="B136" s="73" t="s">
        <v>54</v>
      </c>
      <c r="C136" s="73" t="s">
        <v>200</v>
      </c>
      <c r="D136" s="73" t="s">
        <v>201</v>
      </c>
      <c r="E136" s="73" t="s">
        <v>44</v>
      </c>
      <c r="F136" s="214">
        <f>F137</f>
        <v>15</v>
      </c>
      <c r="G136" s="215">
        <v>464</v>
      </c>
      <c r="H136" s="138">
        <f>F136*G136</f>
        <v>6960</v>
      </c>
      <c r="I136" s="196" t="s">
        <v>45</v>
      </c>
      <c r="J136" s="100"/>
    </row>
    <row r="137" spans="1:18" s="78" customFormat="1" ht="13.5" customHeight="1">
      <c r="A137" s="217"/>
      <c r="B137" s="218"/>
      <c r="C137" s="218"/>
      <c r="D137" s="76" t="s">
        <v>214</v>
      </c>
      <c r="E137" s="218"/>
      <c r="F137" s="219">
        <v>15</v>
      </c>
      <c r="G137" s="220"/>
      <c r="H137" s="215"/>
      <c r="I137" s="212"/>
      <c r="J137" s="100"/>
    </row>
    <row r="138" spans="1:18" s="78" customFormat="1" ht="13.5" customHeight="1">
      <c r="A138" s="217"/>
      <c r="B138" s="218"/>
      <c r="C138" s="218"/>
      <c r="D138" s="76" t="s">
        <v>64</v>
      </c>
      <c r="E138" s="218"/>
      <c r="F138" s="219"/>
      <c r="G138" s="220"/>
      <c r="H138" s="215"/>
      <c r="I138" s="212"/>
      <c r="J138" s="100"/>
    </row>
    <row r="139" spans="1:18" s="100" customFormat="1" ht="13.5" customHeight="1">
      <c r="A139" s="146"/>
      <c r="B139" s="147"/>
      <c r="C139" s="147">
        <v>713</v>
      </c>
      <c r="D139" s="147" t="s">
        <v>90</v>
      </c>
      <c r="E139" s="147"/>
      <c r="F139" s="191"/>
      <c r="G139" s="149"/>
      <c r="H139" s="149">
        <f>SUM(H140:H172)</f>
        <v>376250.80000000005</v>
      </c>
      <c r="I139" s="109"/>
    </row>
    <row r="140" spans="1:18" s="221" customFormat="1" ht="13.5" customHeight="1">
      <c r="A140" s="213">
        <v>19</v>
      </c>
      <c r="B140" s="73">
        <v>713</v>
      </c>
      <c r="C140" s="73" t="s">
        <v>215</v>
      </c>
      <c r="D140" s="73" t="s">
        <v>216</v>
      </c>
      <c r="E140" s="73" t="s">
        <v>48</v>
      </c>
      <c r="F140" s="205">
        <f>F141</f>
        <v>123.1</v>
      </c>
      <c r="G140" s="206">
        <v>2210</v>
      </c>
      <c r="H140" s="138">
        <f>F140*G140</f>
        <v>272051</v>
      </c>
      <c r="I140" s="196" t="s">
        <v>49</v>
      </c>
      <c r="J140" s="100"/>
    </row>
    <row r="141" spans="1:18" s="221" customFormat="1" ht="13.5" customHeight="1">
      <c r="A141" s="213"/>
      <c r="B141" s="73"/>
      <c r="C141" s="73"/>
      <c r="D141" s="76" t="s">
        <v>499</v>
      </c>
      <c r="E141" s="73"/>
      <c r="F141" s="113">
        <v>123.1</v>
      </c>
      <c r="G141" s="206"/>
      <c r="H141" s="215"/>
      <c r="I141" s="196"/>
      <c r="J141" s="100"/>
    </row>
    <row r="142" spans="1:18" s="78" customFormat="1" ht="13.5" customHeight="1">
      <c r="A142" s="217"/>
      <c r="B142" s="218"/>
      <c r="C142" s="218"/>
      <c r="D142" s="76" t="s">
        <v>80</v>
      </c>
      <c r="E142" s="218"/>
      <c r="F142" s="205"/>
      <c r="G142" s="220"/>
      <c r="H142" s="215"/>
      <c r="I142" s="196"/>
      <c r="J142" s="100"/>
    </row>
    <row r="143" spans="1:18" s="216" customFormat="1" ht="13.5" customHeight="1">
      <c r="A143" s="222"/>
      <c r="B143" s="204"/>
      <c r="C143" s="73"/>
      <c r="D143" s="76" t="s">
        <v>217</v>
      </c>
      <c r="E143" s="77"/>
      <c r="F143" s="77"/>
      <c r="G143" s="223"/>
      <c r="H143" s="223"/>
      <c r="I143" s="196"/>
      <c r="J143" s="100"/>
      <c r="K143" s="579"/>
    </row>
    <row r="144" spans="1:18" s="216" customFormat="1" ht="13.5" customHeight="1">
      <c r="A144" s="222"/>
      <c r="B144" s="204"/>
      <c r="C144" s="73"/>
      <c r="D144" s="76" t="s">
        <v>218</v>
      </c>
      <c r="E144" s="77"/>
      <c r="F144" s="77"/>
      <c r="G144" s="223"/>
      <c r="H144" s="223"/>
      <c r="I144" s="196"/>
      <c r="J144" s="100"/>
      <c r="K144" s="579"/>
    </row>
    <row r="145" spans="1:18" s="216" customFormat="1" ht="13.5" customHeight="1">
      <c r="A145" s="222"/>
      <c r="B145" s="204"/>
      <c r="C145" s="73"/>
      <c r="D145" s="76" t="s">
        <v>219</v>
      </c>
      <c r="E145" s="77"/>
      <c r="F145" s="219"/>
      <c r="G145" s="223"/>
      <c r="H145" s="223"/>
      <c r="I145" s="224"/>
      <c r="J145" s="100"/>
      <c r="K145" s="579"/>
    </row>
    <row r="146" spans="1:18" s="216" customFormat="1" ht="13.5" customHeight="1">
      <c r="A146" s="222"/>
      <c r="B146" s="204"/>
      <c r="C146" s="73"/>
      <c r="D146" s="76" t="s">
        <v>220</v>
      </c>
      <c r="E146" s="77"/>
      <c r="F146" s="219"/>
      <c r="G146" s="223"/>
      <c r="H146" s="223"/>
      <c r="I146" s="224"/>
      <c r="J146" s="100"/>
      <c r="K146" s="580"/>
    </row>
    <row r="147" spans="1:18" s="226" customFormat="1" ht="13.5" customHeight="1">
      <c r="A147" s="203"/>
      <c r="B147" s="225"/>
      <c r="C147" s="225"/>
      <c r="D147" s="76" t="s">
        <v>221</v>
      </c>
      <c r="E147" s="225"/>
      <c r="F147" s="391"/>
      <c r="G147" s="227"/>
      <c r="H147" s="215"/>
      <c r="I147" s="196"/>
      <c r="J147" s="100"/>
    </row>
    <row r="148" spans="1:18" s="186" customFormat="1" ht="13.5" customHeight="1">
      <c r="A148" s="135"/>
      <c r="B148" s="189"/>
      <c r="C148" s="189"/>
      <c r="D148" s="185" t="s">
        <v>82</v>
      </c>
      <c r="E148" s="189"/>
      <c r="F148" s="137"/>
      <c r="G148" s="190"/>
      <c r="H148" s="138"/>
      <c r="I148" s="188"/>
      <c r="J148" s="100"/>
      <c r="K148" s="533"/>
      <c r="N148" s="530"/>
      <c r="R148" s="134"/>
    </row>
    <row r="149" spans="1:18" s="78" customFormat="1" ht="13.5" customHeight="1">
      <c r="A149" s="208"/>
      <c r="B149" s="209"/>
      <c r="C149" s="209"/>
      <c r="D149" s="185" t="s">
        <v>222</v>
      </c>
      <c r="E149" s="209"/>
      <c r="F149" s="210"/>
      <c r="G149" s="211"/>
      <c r="H149" s="382"/>
      <c r="I149" s="212"/>
      <c r="J149" s="100"/>
    </row>
    <row r="150" spans="1:18" s="78" customFormat="1" ht="13.5" customHeight="1">
      <c r="A150" s="213">
        <v>20</v>
      </c>
      <c r="B150" s="73">
        <v>713</v>
      </c>
      <c r="C150" s="73" t="s">
        <v>223</v>
      </c>
      <c r="D150" s="73" t="s">
        <v>224</v>
      </c>
      <c r="E150" s="73" t="s">
        <v>48</v>
      </c>
      <c r="F150" s="205">
        <f>F151</f>
        <v>9.2324999999999999</v>
      </c>
      <c r="G150" s="206">
        <v>2960</v>
      </c>
      <c r="H150" s="138">
        <f>F150*G150</f>
        <v>27328.2</v>
      </c>
      <c r="I150" s="196" t="s">
        <v>49</v>
      </c>
      <c r="J150" s="100"/>
    </row>
    <row r="151" spans="1:18" s="221" customFormat="1" ht="13.5" customHeight="1">
      <c r="A151" s="213"/>
      <c r="B151" s="73"/>
      <c r="C151" s="73"/>
      <c r="D151" s="76" t="s">
        <v>510</v>
      </c>
      <c r="E151" s="73"/>
      <c r="F151" s="207">
        <f>(11.98*2+6.815)*0.3</f>
        <v>9.2324999999999999</v>
      </c>
      <c r="G151" s="206"/>
      <c r="H151" s="215"/>
      <c r="I151" s="196"/>
      <c r="J151" s="100"/>
    </row>
    <row r="152" spans="1:18" s="78" customFormat="1" ht="13.5" customHeight="1">
      <c r="A152" s="217"/>
      <c r="B152" s="218"/>
      <c r="C152" s="218"/>
      <c r="D152" s="76" t="s">
        <v>80</v>
      </c>
      <c r="E152" s="218"/>
      <c r="F152" s="205"/>
      <c r="G152" s="220"/>
      <c r="H152" s="215"/>
      <c r="I152" s="196"/>
      <c r="J152" s="100"/>
    </row>
    <row r="153" spans="1:18" s="216" customFormat="1" ht="13.5" customHeight="1">
      <c r="A153" s="222"/>
      <c r="B153" s="204"/>
      <c r="C153" s="73"/>
      <c r="D153" s="76" t="s">
        <v>217</v>
      </c>
      <c r="E153" s="77"/>
      <c r="F153" s="77"/>
      <c r="G153" s="223"/>
      <c r="H153" s="223"/>
      <c r="I153" s="196"/>
      <c r="J153" s="100"/>
      <c r="K153" s="579"/>
    </row>
    <row r="154" spans="1:18" s="78" customFormat="1" ht="13.5" customHeight="1">
      <c r="A154" s="222"/>
      <c r="B154" s="204"/>
      <c r="C154" s="73"/>
      <c r="D154" s="76" t="s">
        <v>225</v>
      </c>
      <c r="E154" s="77"/>
      <c r="F154" s="205"/>
      <c r="G154" s="223"/>
      <c r="H154" s="223"/>
      <c r="I154" s="196"/>
      <c r="J154" s="100"/>
    </row>
    <row r="155" spans="1:18" s="78" customFormat="1" ht="13.5" customHeight="1">
      <c r="A155" s="222"/>
      <c r="B155" s="204"/>
      <c r="C155" s="73"/>
      <c r="D155" s="76" t="s">
        <v>219</v>
      </c>
      <c r="E155" s="77"/>
      <c r="F155" s="219"/>
      <c r="G155" s="223"/>
      <c r="H155" s="223"/>
      <c r="I155" s="224"/>
      <c r="J155" s="100"/>
    </row>
    <row r="156" spans="1:18" s="78" customFormat="1" ht="13.5" customHeight="1">
      <c r="A156" s="222"/>
      <c r="B156" s="204"/>
      <c r="C156" s="73"/>
      <c r="D156" s="76" t="s">
        <v>220</v>
      </c>
      <c r="E156" s="77"/>
      <c r="F156" s="219"/>
      <c r="G156" s="223"/>
      <c r="H156" s="223"/>
      <c r="I156" s="224"/>
      <c r="J156" s="100"/>
    </row>
    <row r="157" spans="1:18" s="78" customFormat="1" ht="13.5" customHeight="1">
      <c r="A157" s="203"/>
      <c r="B157" s="225"/>
      <c r="C157" s="225"/>
      <c r="D157" s="76" t="s">
        <v>226</v>
      </c>
      <c r="E157" s="225"/>
      <c r="F157" s="391"/>
      <c r="G157" s="227"/>
      <c r="H157" s="215"/>
      <c r="I157" s="196"/>
      <c r="J157" s="100"/>
    </row>
    <row r="158" spans="1:18" s="78" customFormat="1" ht="13.5" customHeight="1">
      <c r="A158" s="135"/>
      <c r="B158" s="189"/>
      <c r="C158" s="189"/>
      <c r="D158" s="185" t="s">
        <v>82</v>
      </c>
      <c r="E158" s="189"/>
      <c r="F158" s="137"/>
      <c r="G158" s="190"/>
      <c r="H158" s="138"/>
      <c r="I158" s="188"/>
      <c r="J158" s="100"/>
    </row>
    <row r="159" spans="1:18" s="78" customFormat="1" ht="13.5" customHeight="1">
      <c r="A159" s="208"/>
      <c r="B159" s="209"/>
      <c r="C159" s="209"/>
      <c r="D159" s="185" t="s">
        <v>222</v>
      </c>
      <c r="E159" s="209"/>
      <c r="F159" s="210"/>
      <c r="G159" s="211"/>
      <c r="H159" s="382"/>
      <c r="I159" s="212"/>
      <c r="J159" s="100"/>
    </row>
    <row r="160" spans="1:18" s="78" customFormat="1" ht="13.5" customHeight="1">
      <c r="A160" s="208"/>
      <c r="B160" s="209"/>
      <c r="C160" s="209"/>
      <c r="D160" s="185" t="s">
        <v>227</v>
      </c>
      <c r="E160" s="209"/>
      <c r="F160" s="210"/>
      <c r="G160" s="211"/>
      <c r="H160" s="382"/>
      <c r="I160" s="212"/>
      <c r="J160" s="100"/>
    </row>
    <row r="161" spans="1:11" s="78" customFormat="1" ht="13.5" customHeight="1">
      <c r="A161" s="213">
        <v>21</v>
      </c>
      <c r="B161" s="73">
        <v>713</v>
      </c>
      <c r="C161" s="73" t="s">
        <v>228</v>
      </c>
      <c r="D161" s="73" t="s">
        <v>229</v>
      </c>
      <c r="E161" s="73" t="s">
        <v>48</v>
      </c>
      <c r="F161" s="205">
        <f>F162</f>
        <v>24.620000000000005</v>
      </c>
      <c r="G161" s="206">
        <v>2180</v>
      </c>
      <c r="H161" s="138">
        <f>F161*G161</f>
        <v>53671.600000000013</v>
      </c>
      <c r="I161" s="196" t="s">
        <v>49</v>
      </c>
      <c r="J161" s="100"/>
    </row>
    <row r="162" spans="1:11" s="221" customFormat="1" ht="13.5" customHeight="1">
      <c r="A162" s="213"/>
      <c r="B162" s="73"/>
      <c r="C162" s="73"/>
      <c r="D162" s="76" t="s">
        <v>509</v>
      </c>
      <c r="E162" s="73"/>
      <c r="F162" s="207">
        <f>(11.98*2+6.815)*0.8</f>
        <v>24.620000000000005</v>
      </c>
      <c r="G162" s="206"/>
      <c r="H162" s="215"/>
      <c r="I162" s="196"/>
      <c r="J162" s="100"/>
    </row>
    <row r="163" spans="1:11" s="78" customFormat="1" ht="13.5" customHeight="1">
      <c r="A163" s="217"/>
      <c r="B163" s="218"/>
      <c r="C163" s="218"/>
      <c r="D163" s="76" t="s">
        <v>80</v>
      </c>
      <c r="E163" s="218"/>
      <c r="F163" s="205"/>
      <c r="G163" s="220"/>
      <c r="H163" s="215"/>
      <c r="I163" s="196"/>
      <c r="J163" s="100"/>
    </row>
    <row r="164" spans="1:11" s="78" customFormat="1" ht="13.5" customHeight="1">
      <c r="A164" s="217"/>
      <c r="B164" s="218"/>
      <c r="C164" s="218"/>
      <c r="D164" s="76" t="s">
        <v>164</v>
      </c>
      <c r="E164" s="218"/>
      <c r="F164" s="205"/>
      <c r="G164" s="220"/>
      <c r="H164" s="215"/>
      <c r="I164" s="212"/>
      <c r="J164" s="100"/>
    </row>
    <row r="165" spans="1:11" s="78" customFormat="1" ht="13.5" customHeight="1">
      <c r="A165" s="217"/>
      <c r="B165" s="218"/>
      <c r="C165" s="218"/>
      <c r="D165" s="76" t="s">
        <v>230</v>
      </c>
      <c r="E165" s="218"/>
      <c r="F165" s="205"/>
      <c r="G165" s="220"/>
      <c r="H165" s="215"/>
      <c r="I165" s="212"/>
      <c r="J165" s="100"/>
    </row>
    <row r="166" spans="1:11" s="78" customFormat="1" ht="13.5" customHeight="1">
      <c r="A166" s="222"/>
      <c r="B166" s="204"/>
      <c r="C166" s="73"/>
      <c r="D166" s="76" t="s">
        <v>226</v>
      </c>
      <c r="E166" s="77"/>
      <c r="F166" s="205"/>
      <c r="G166" s="223"/>
      <c r="H166" s="223"/>
      <c r="I166" s="196"/>
      <c r="J166" s="100"/>
    </row>
    <row r="167" spans="1:11" s="78" customFormat="1" ht="13.5" customHeight="1">
      <c r="A167" s="135"/>
      <c r="B167" s="189"/>
      <c r="C167" s="189"/>
      <c r="D167" s="185" t="s">
        <v>82</v>
      </c>
      <c r="E167" s="189"/>
      <c r="F167" s="137"/>
      <c r="G167" s="190"/>
      <c r="H167" s="138"/>
      <c r="I167" s="188"/>
      <c r="J167" s="100"/>
    </row>
    <row r="168" spans="1:11" s="78" customFormat="1" ht="13.5" customHeight="1">
      <c r="A168" s="208"/>
      <c r="B168" s="209"/>
      <c r="C168" s="209"/>
      <c r="D168" s="185" t="s">
        <v>222</v>
      </c>
      <c r="E168" s="209"/>
      <c r="F168" s="210"/>
      <c r="G168" s="211"/>
      <c r="H168" s="382"/>
      <c r="I168" s="212"/>
      <c r="J168" s="100"/>
    </row>
    <row r="169" spans="1:11" s="78" customFormat="1" ht="13.5" customHeight="1">
      <c r="A169" s="208"/>
      <c r="B169" s="209"/>
      <c r="C169" s="209"/>
      <c r="D169" s="185" t="s">
        <v>227</v>
      </c>
      <c r="E169" s="209"/>
      <c r="F169" s="210"/>
      <c r="G169" s="211"/>
      <c r="H169" s="382"/>
      <c r="I169" s="212"/>
      <c r="J169" s="100"/>
    </row>
    <row r="170" spans="1:11" s="216" customFormat="1" ht="13.5" customHeight="1">
      <c r="A170" s="213">
        <v>22</v>
      </c>
      <c r="B170" s="73" t="s">
        <v>54</v>
      </c>
      <c r="C170" s="73" t="s">
        <v>200</v>
      </c>
      <c r="D170" s="73" t="s">
        <v>201</v>
      </c>
      <c r="E170" s="73" t="s">
        <v>44</v>
      </c>
      <c r="F170" s="214">
        <f>F171</f>
        <v>50</v>
      </c>
      <c r="G170" s="215">
        <v>464</v>
      </c>
      <c r="H170" s="138">
        <f>F170*G170</f>
        <v>23200</v>
      </c>
      <c r="I170" s="196" t="s">
        <v>45</v>
      </c>
      <c r="J170" s="100"/>
    </row>
    <row r="171" spans="1:11" s="78" customFormat="1" ht="13.5" customHeight="1">
      <c r="A171" s="217"/>
      <c r="B171" s="218"/>
      <c r="C171" s="218"/>
      <c r="D171" s="76" t="s">
        <v>231</v>
      </c>
      <c r="E171" s="218"/>
      <c r="F171" s="219">
        <v>50</v>
      </c>
      <c r="G171" s="220"/>
      <c r="H171" s="215"/>
      <c r="I171" s="212"/>
      <c r="J171" s="100"/>
    </row>
    <row r="172" spans="1:11" s="78" customFormat="1" ht="13.5" customHeight="1">
      <c r="A172" s="217"/>
      <c r="B172" s="218"/>
      <c r="C172" s="218"/>
      <c r="D172" s="76" t="s">
        <v>64</v>
      </c>
      <c r="E172" s="218"/>
      <c r="F172" s="219"/>
      <c r="G172" s="220"/>
      <c r="H172" s="215"/>
      <c r="I172" s="212"/>
      <c r="J172" s="100"/>
    </row>
    <row r="173" spans="1:11" s="100" customFormat="1" ht="13.5" customHeight="1">
      <c r="A173" s="228"/>
      <c r="B173" s="147"/>
      <c r="C173" s="147">
        <v>720</v>
      </c>
      <c r="D173" s="147" t="s">
        <v>550</v>
      </c>
      <c r="E173" s="147"/>
      <c r="F173" s="191"/>
      <c r="G173" s="148"/>
      <c r="H173" s="148">
        <f>SUM(H174:H178)</f>
        <v>75000</v>
      </c>
      <c r="I173" s="148"/>
      <c r="K173" s="584"/>
    </row>
    <row r="174" spans="1:11" s="100" customFormat="1" ht="13.5" customHeight="1">
      <c r="A174" s="165">
        <v>23</v>
      </c>
      <c r="B174" s="97" t="s">
        <v>59</v>
      </c>
      <c r="C174" s="97" t="s">
        <v>650</v>
      </c>
      <c r="D174" s="97" t="s">
        <v>559</v>
      </c>
      <c r="E174" s="97" t="s">
        <v>23</v>
      </c>
      <c r="F174" s="175">
        <f>F176</f>
        <v>1</v>
      </c>
      <c r="G174" s="98">
        <v>75000</v>
      </c>
      <c r="H174" s="138">
        <f>F174*G174</f>
        <v>75000</v>
      </c>
      <c r="I174" s="196" t="s">
        <v>49</v>
      </c>
      <c r="K174" s="584"/>
    </row>
    <row r="175" spans="1:11" s="100" customFormat="1" ht="40.5" customHeight="1">
      <c r="A175" s="165"/>
      <c r="B175" s="97"/>
      <c r="C175" s="97"/>
      <c r="D175" s="101" t="s">
        <v>552</v>
      </c>
      <c r="E175" s="97"/>
      <c r="F175" s="286"/>
      <c r="G175" s="98"/>
      <c r="H175" s="98"/>
      <c r="I175" s="98"/>
      <c r="K175" s="584"/>
    </row>
    <row r="176" spans="1:11" s="100" customFormat="1" ht="13.5" customHeight="1">
      <c r="A176" s="165"/>
      <c r="B176" s="103"/>
      <c r="C176" s="103"/>
      <c r="D176" s="101" t="s">
        <v>61</v>
      </c>
      <c r="E176" s="103"/>
      <c r="F176" s="162">
        <v>1</v>
      </c>
      <c r="G176" s="104"/>
      <c r="H176" s="98"/>
      <c r="I176" s="98"/>
      <c r="K176" s="584"/>
    </row>
    <row r="177" spans="1:19" s="100" customFormat="1" ht="13.5" customHeight="1">
      <c r="A177" s="197"/>
      <c r="B177" s="103"/>
      <c r="C177" s="103"/>
      <c r="D177" s="153" t="s">
        <v>553</v>
      </c>
      <c r="E177" s="103"/>
      <c r="F177" s="162"/>
      <c r="G177" s="104"/>
      <c r="H177" s="98"/>
      <c r="I177" s="98"/>
      <c r="K177" s="585"/>
      <c r="L177" s="525"/>
    </row>
    <row r="178" spans="1:19" s="100" customFormat="1" ht="67.5" customHeight="1">
      <c r="A178" s="165"/>
      <c r="B178" s="107"/>
      <c r="C178" s="103"/>
      <c r="D178" s="108" t="s">
        <v>57</v>
      </c>
      <c r="E178" s="90"/>
      <c r="F178" s="286"/>
      <c r="G178" s="104"/>
      <c r="H178" s="98"/>
      <c r="I178" s="98"/>
      <c r="K178" s="584"/>
    </row>
    <row r="179" spans="1:19" s="100" customFormat="1" ht="13.5" customHeight="1">
      <c r="A179" s="165"/>
      <c r="B179" s="147"/>
      <c r="C179" s="147">
        <v>763</v>
      </c>
      <c r="D179" s="147" t="s">
        <v>92</v>
      </c>
      <c r="E179" s="147"/>
      <c r="F179" s="191"/>
      <c r="G179" s="229"/>
      <c r="H179" s="148">
        <f>SUM(H180:H193)</f>
        <v>16650.949999999997</v>
      </c>
      <c r="I179" s="109"/>
    </row>
    <row r="180" spans="1:19" s="88" customFormat="1" ht="13.5" customHeight="1">
      <c r="A180" s="213">
        <v>25</v>
      </c>
      <c r="B180" s="204" t="s">
        <v>232</v>
      </c>
      <c r="C180" s="73" t="s">
        <v>233</v>
      </c>
      <c r="D180" s="73" t="s">
        <v>234</v>
      </c>
      <c r="E180" s="73" t="s">
        <v>48</v>
      </c>
      <c r="F180" s="205">
        <f>SUM(F182:F182)</f>
        <v>4.1849999999999996</v>
      </c>
      <c r="G180" s="215">
        <v>2870</v>
      </c>
      <c r="H180" s="138">
        <f>F180*G180</f>
        <v>12010.949999999999</v>
      </c>
      <c r="I180" s="196" t="s">
        <v>49</v>
      </c>
      <c r="J180" s="100"/>
    </row>
    <row r="181" spans="1:19" s="92" customFormat="1" ht="13.5" customHeight="1">
      <c r="A181" s="168"/>
      <c r="B181" s="169"/>
      <c r="C181" s="89"/>
      <c r="D181" s="80" t="s">
        <v>235</v>
      </c>
      <c r="E181" s="89"/>
      <c r="F181" s="392"/>
      <c r="G181" s="91"/>
      <c r="H181" s="91"/>
      <c r="I181" s="196"/>
      <c r="J181" s="100"/>
      <c r="K181" s="589"/>
      <c r="L181" s="589"/>
      <c r="O181" s="578"/>
    </row>
    <row r="182" spans="1:19" s="92" customFormat="1" ht="13.5" customHeight="1">
      <c r="A182" s="168"/>
      <c r="B182" s="169"/>
      <c r="C182" s="89"/>
      <c r="D182" s="80" t="s">
        <v>60</v>
      </c>
      <c r="E182" s="89"/>
      <c r="F182" s="207">
        <f>1.7+2.485</f>
        <v>4.1849999999999996</v>
      </c>
      <c r="G182" s="91"/>
      <c r="H182" s="91"/>
      <c r="I182" s="196"/>
      <c r="J182" s="100"/>
      <c r="O182" s="578"/>
    </row>
    <row r="183" spans="1:19" s="92" customFormat="1" ht="13.5" customHeight="1">
      <c r="A183" s="170"/>
      <c r="B183" s="89"/>
      <c r="C183" s="89"/>
      <c r="D183" s="80" t="s">
        <v>80</v>
      </c>
      <c r="E183" s="89"/>
      <c r="F183" s="142"/>
      <c r="G183" s="91"/>
      <c r="H183" s="91"/>
      <c r="I183" s="196"/>
      <c r="J183" s="100"/>
    </row>
    <row r="184" spans="1:19" s="233" customFormat="1" ht="13.5" customHeight="1">
      <c r="A184" s="230"/>
      <c r="B184" s="231"/>
      <c r="C184" s="231"/>
      <c r="D184" s="231" t="s">
        <v>236</v>
      </c>
      <c r="E184" s="231"/>
      <c r="F184" s="207"/>
      <c r="G184" s="232"/>
      <c r="H184" s="232"/>
      <c r="I184" s="196"/>
      <c r="J184" s="100"/>
    </row>
    <row r="185" spans="1:19" s="233" customFormat="1" ht="13.5" customHeight="1">
      <c r="A185" s="230"/>
      <c r="B185" s="231"/>
      <c r="C185" s="231"/>
      <c r="D185" s="231" t="s">
        <v>237</v>
      </c>
      <c r="E185" s="231"/>
      <c r="F185" s="207"/>
      <c r="G185" s="232"/>
      <c r="H185" s="232"/>
      <c r="I185" s="234"/>
      <c r="J185" s="100"/>
      <c r="S185" s="592"/>
    </row>
    <row r="186" spans="1:19" s="233" customFormat="1" ht="13.5" customHeight="1">
      <c r="A186" s="230"/>
      <c r="B186" s="231"/>
      <c r="C186" s="231"/>
      <c r="D186" s="231" t="s">
        <v>238</v>
      </c>
      <c r="E186" s="231"/>
      <c r="F186" s="207"/>
      <c r="G186" s="232"/>
      <c r="H186" s="232"/>
      <c r="I186" s="234"/>
      <c r="J186" s="100"/>
      <c r="S186" s="592"/>
    </row>
    <row r="187" spans="1:19" s="233" customFormat="1" ht="13.5" customHeight="1">
      <c r="A187" s="230"/>
      <c r="B187" s="231"/>
      <c r="C187" s="231"/>
      <c r="D187" s="80" t="s">
        <v>239</v>
      </c>
      <c r="E187" s="231"/>
      <c r="F187" s="207"/>
      <c r="G187" s="232"/>
      <c r="H187" s="232"/>
      <c r="I187" s="234"/>
      <c r="J187" s="100"/>
    </row>
    <row r="188" spans="1:19" s="233" customFormat="1" ht="13.5" customHeight="1">
      <c r="A188" s="230"/>
      <c r="B188" s="231"/>
      <c r="C188" s="231"/>
      <c r="D188" s="80" t="s">
        <v>240</v>
      </c>
      <c r="E188" s="231"/>
      <c r="F188" s="207"/>
      <c r="G188" s="232"/>
      <c r="H188" s="232"/>
      <c r="I188" s="234"/>
      <c r="J188" s="100"/>
    </row>
    <row r="189" spans="1:19" s="233" customFormat="1" ht="13.5" customHeight="1">
      <c r="A189" s="230"/>
      <c r="B189" s="231"/>
      <c r="C189" s="231"/>
      <c r="D189" s="231" t="s">
        <v>133</v>
      </c>
      <c r="E189" s="231"/>
      <c r="F189" s="207"/>
      <c r="G189" s="232"/>
      <c r="H189" s="232"/>
      <c r="I189" s="234"/>
      <c r="J189" s="100"/>
    </row>
    <row r="190" spans="1:19" s="233" customFormat="1" ht="13.5" customHeight="1">
      <c r="A190" s="230"/>
      <c r="B190" s="231"/>
      <c r="C190" s="231"/>
      <c r="D190" s="231" t="s">
        <v>241</v>
      </c>
      <c r="E190" s="231"/>
      <c r="F190" s="207"/>
      <c r="G190" s="232"/>
      <c r="H190" s="232"/>
      <c r="I190" s="234"/>
      <c r="J190" s="100"/>
      <c r="P190" s="594"/>
    </row>
    <row r="191" spans="1:19" s="216" customFormat="1" ht="13.5" customHeight="1">
      <c r="A191" s="235">
        <v>26</v>
      </c>
      <c r="B191" s="73" t="s">
        <v>54</v>
      </c>
      <c r="C191" s="73" t="s">
        <v>255</v>
      </c>
      <c r="D191" s="73" t="s">
        <v>256</v>
      </c>
      <c r="E191" s="73" t="s">
        <v>44</v>
      </c>
      <c r="F191" s="236">
        <f>SUM(F192:F192)</f>
        <v>10</v>
      </c>
      <c r="G191" s="215">
        <v>464</v>
      </c>
      <c r="H191" s="138">
        <f>F191*G191</f>
        <v>4640</v>
      </c>
      <c r="I191" s="196" t="s">
        <v>45</v>
      </c>
      <c r="J191" s="100"/>
    </row>
    <row r="192" spans="1:19" s="78" customFormat="1" ht="13.5" customHeight="1">
      <c r="A192" s="237"/>
      <c r="B192" s="218"/>
      <c r="C192" s="218"/>
      <c r="D192" s="76" t="s">
        <v>257</v>
      </c>
      <c r="E192" s="218"/>
      <c r="F192" s="219">
        <v>10</v>
      </c>
      <c r="G192" s="238"/>
      <c r="H192" s="205"/>
      <c r="I192" s="212"/>
      <c r="J192" s="100"/>
    </row>
    <row r="193" spans="1:19" s="78" customFormat="1" ht="13.5" customHeight="1">
      <c r="A193" s="237"/>
      <c r="B193" s="218"/>
      <c r="C193" s="218"/>
      <c r="D193" s="76" t="s">
        <v>64</v>
      </c>
      <c r="E193" s="218"/>
      <c r="F193" s="219"/>
      <c r="G193" s="238"/>
      <c r="H193" s="205"/>
      <c r="I193" s="212"/>
      <c r="J193" s="100"/>
    </row>
    <row r="194" spans="1:19" s="100" customFormat="1" ht="13.5" customHeight="1">
      <c r="A194" s="146"/>
      <c r="B194" s="147"/>
      <c r="C194" s="147">
        <v>764</v>
      </c>
      <c r="D194" s="147" t="s">
        <v>93</v>
      </c>
      <c r="E194" s="147"/>
      <c r="F194" s="148"/>
      <c r="G194" s="149"/>
      <c r="H194" s="149">
        <f>SUM(H195:H208)</f>
        <v>184290</v>
      </c>
      <c r="I194" s="163"/>
      <c r="L194" s="599"/>
    </row>
    <row r="195" spans="1:19" s="243" customFormat="1" ht="13.5" customHeight="1">
      <c r="A195" s="239">
        <v>27</v>
      </c>
      <c r="B195" s="240" t="s">
        <v>258</v>
      </c>
      <c r="C195" s="241" t="s">
        <v>259</v>
      </c>
      <c r="D195" s="241" t="s">
        <v>502</v>
      </c>
      <c r="E195" s="241" t="s">
        <v>23</v>
      </c>
      <c r="F195" s="236">
        <f>SUM(F196:F196)</f>
        <v>1</v>
      </c>
      <c r="G195" s="242">
        <v>180000</v>
      </c>
      <c r="H195" s="138">
        <f>F195*G195</f>
        <v>180000</v>
      </c>
      <c r="I195" s="99" t="s">
        <v>49</v>
      </c>
      <c r="J195" s="100"/>
      <c r="L195" s="601"/>
      <c r="M195" s="602"/>
    </row>
    <row r="196" spans="1:19" s="243" customFormat="1" ht="13.5" customHeight="1">
      <c r="A196" s="244"/>
      <c r="B196" s="245"/>
      <c r="C196" s="245"/>
      <c r="D196" s="179" t="s">
        <v>260</v>
      </c>
      <c r="E196" s="178"/>
      <c r="F196" s="246">
        <v>1</v>
      </c>
      <c r="G196" s="247"/>
      <c r="H196" s="247"/>
      <c r="I196" s="248"/>
      <c r="J196" s="100"/>
      <c r="L196" s="603"/>
      <c r="N196" s="604"/>
      <c r="R196" s="602"/>
    </row>
    <row r="197" spans="1:19" s="92" customFormat="1" ht="13.5" customHeight="1">
      <c r="A197" s="170"/>
      <c r="B197" s="89"/>
      <c r="C197" s="89"/>
      <c r="D197" s="80" t="s">
        <v>80</v>
      </c>
      <c r="E197" s="89"/>
      <c r="F197" s="142"/>
      <c r="G197" s="91"/>
      <c r="H197" s="91"/>
      <c r="I197" s="176"/>
      <c r="J197" s="100"/>
    </row>
    <row r="198" spans="1:19" s="92" customFormat="1" ht="27" customHeight="1">
      <c r="A198" s="170"/>
      <c r="B198" s="89"/>
      <c r="C198" s="89"/>
      <c r="D198" s="158" t="s">
        <v>261</v>
      </c>
      <c r="E198" s="89"/>
      <c r="F198" s="142"/>
      <c r="G198" s="91"/>
      <c r="H198" s="91"/>
      <c r="I198" s="176"/>
      <c r="J198" s="100"/>
    </row>
    <row r="199" spans="1:19" s="92" customFormat="1" ht="13.5" customHeight="1">
      <c r="A199" s="170"/>
      <c r="B199" s="89"/>
      <c r="C199" s="89"/>
      <c r="D199" s="158" t="s">
        <v>262</v>
      </c>
      <c r="E199" s="89"/>
      <c r="F199" s="142"/>
      <c r="G199" s="91"/>
      <c r="H199" s="91"/>
      <c r="I199" s="176"/>
      <c r="J199" s="100"/>
    </row>
    <row r="200" spans="1:19" s="92" customFormat="1" ht="13.5" customHeight="1">
      <c r="A200" s="170"/>
      <c r="B200" s="89"/>
      <c r="C200" s="89"/>
      <c r="D200" s="158" t="s">
        <v>263</v>
      </c>
      <c r="E200" s="89"/>
      <c r="F200" s="142"/>
      <c r="G200" s="91"/>
      <c r="H200" s="91"/>
      <c r="I200" s="176"/>
      <c r="J200" s="100"/>
    </row>
    <row r="201" spans="1:19" s="92" customFormat="1" ht="13.5" customHeight="1">
      <c r="A201" s="170"/>
      <c r="B201" s="89"/>
      <c r="C201" s="89"/>
      <c r="D201" s="158" t="s">
        <v>264</v>
      </c>
      <c r="E201" s="89"/>
      <c r="F201" s="142"/>
      <c r="G201" s="91"/>
      <c r="H201" s="91"/>
      <c r="I201" s="176"/>
      <c r="J201" s="100"/>
    </row>
    <row r="202" spans="1:19" s="112" customFormat="1" ht="13.5" customHeight="1">
      <c r="A202" s="171"/>
      <c r="B202" s="158"/>
      <c r="C202" s="158"/>
      <c r="D202" s="158" t="s">
        <v>265</v>
      </c>
      <c r="E202" s="158"/>
      <c r="F202" s="113"/>
      <c r="G202" s="172"/>
      <c r="H202" s="172"/>
      <c r="I202" s="173"/>
      <c r="J202" s="100"/>
      <c r="S202" s="605"/>
    </row>
    <row r="203" spans="1:19" s="112" customFormat="1" ht="13.5" customHeight="1">
      <c r="A203" s="171"/>
      <c r="B203" s="158"/>
      <c r="C203" s="158"/>
      <c r="D203" s="158" t="s">
        <v>266</v>
      </c>
      <c r="E203" s="158"/>
      <c r="F203" s="113"/>
      <c r="G203" s="172"/>
      <c r="H203" s="172"/>
      <c r="I203" s="173"/>
      <c r="J203" s="100"/>
      <c r="S203" s="605"/>
    </row>
    <row r="204" spans="1:19" s="112" customFormat="1" ht="13.5" customHeight="1">
      <c r="A204" s="171"/>
      <c r="B204" s="158"/>
      <c r="C204" s="158"/>
      <c r="D204" s="80" t="s">
        <v>267</v>
      </c>
      <c r="E204" s="158"/>
      <c r="F204" s="113"/>
      <c r="G204" s="172"/>
      <c r="H204" s="172"/>
      <c r="I204" s="173"/>
      <c r="J204" s="100"/>
    </row>
    <row r="205" spans="1:19" s="112" customFormat="1" ht="13.5" customHeight="1">
      <c r="A205" s="171"/>
      <c r="B205" s="158"/>
      <c r="C205" s="158"/>
      <c r="D205" s="158" t="s">
        <v>133</v>
      </c>
      <c r="E205" s="158"/>
      <c r="F205" s="113"/>
      <c r="G205" s="172"/>
      <c r="H205" s="172"/>
      <c r="I205" s="173"/>
      <c r="J205" s="100"/>
    </row>
    <row r="206" spans="1:19" s="100" customFormat="1" ht="13.5" customHeight="1">
      <c r="A206" s="96">
        <v>28</v>
      </c>
      <c r="B206" s="97" t="s">
        <v>54</v>
      </c>
      <c r="C206" s="97" t="s">
        <v>268</v>
      </c>
      <c r="D206" s="97" t="s">
        <v>269</v>
      </c>
      <c r="E206" s="97" t="s">
        <v>44</v>
      </c>
      <c r="F206" s="236">
        <f>SUM(F207:F207)</f>
        <v>10</v>
      </c>
      <c r="G206" s="106">
        <v>429</v>
      </c>
      <c r="H206" s="138">
        <f>F206*G206</f>
        <v>4290</v>
      </c>
      <c r="I206" s="99" t="s">
        <v>45</v>
      </c>
    </row>
    <row r="207" spans="1:19" s="100" customFormat="1" ht="13.5" customHeight="1">
      <c r="A207" s="102"/>
      <c r="B207" s="103"/>
      <c r="C207" s="103"/>
      <c r="D207" s="101" t="s">
        <v>270</v>
      </c>
      <c r="E207" s="103"/>
      <c r="F207" s="113">
        <v>10</v>
      </c>
      <c r="G207" s="110"/>
      <c r="H207" s="106"/>
      <c r="I207" s="109"/>
    </row>
    <row r="208" spans="1:19" s="100" customFormat="1" ht="13.5" customHeight="1">
      <c r="A208" s="102"/>
      <c r="B208" s="103"/>
      <c r="C208" s="103"/>
      <c r="D208" s="101" t="s">
        <v>64</v>
      </c>
      <c r="E208" s="103"/>
      <c r="F208" s="113"/>
      <c r="G208" s="110"/>
      <c r="H208" s="106"/>
      <c r="I208" s="109"/>
    </row>
    <row r="209" spans="1:19" s="100" customFormat="1" ht="13.5" customHeight="1">
      <c r="A209" s="146"/>
      <c r="B209" s="147"/>
      <c r="C209" s="147">
        <v>766</v>
      </c>
      <c r="D209" s="147" t="s">
        <v>95</v>
      </c>
      <c r="E209" s="147"/>
      <c r="F209" s="148"/>
      <c r="G209" s="149"/>
      <c r="H209" s="149">
        <f>SUM(H210:H226)</f>
        <v>360870.40000000002</v>
      </c>
      <c r="I209" s="163"/>
      <c r="L209" s="599"/>
    </row>
    <row r="210" spans="1:19" s="243" customFormat="1" ht="13.5" customHeight="1">
      <c r="A210" s="239">
        <v>29</v>
      </c>
      <c r="B210" s="240">
        <v>766</v>
      </c>
      <c r="C210" s="241" t="s">
        <v>277</v>
      </c>
      <c r="D210" s="241" t="s">
        <v>278</v>
      </c>
      <c r="E210" s="241" t="s">
        <v>48</v>
      </c>
      <c r="F210" s="236">
        <f>SUM(F212:F212)</f>
        <v>9.7439999999999998</v>
      </c>
      <c r="G210" s="242">
        <v>26600</v>
      </c>
      <c r="H210" s="138">
        <f>F210*G210</f>
        <v>259190.39999999999</v>
      </c>
      <c r="I210" s="196" t="s">
        <v>49</v>
      </c>
      <c r="J210" s="100"/>
      <c r="L210" s="601"/>
      <c r="M210" s="602"/>
    </row>
    <row r="211" spans="1:19" s="243" customFormat="1" ht="13.5" customHeight="1">
      <c r="A211" s="239"/>
      <c r="B211" s="240"/>
      <c r="C211" s="241"/>
      <c r="D211" s="250" t="s">
        <v>279</v>
      </c>
      <c r="E211" s="241"/>
      <c r="F211" s="246"/>
      <c r="G211" s="242"/>
      <c r="H211" s="242"/>
      <c r="I211" s="196"/>
      <c r="J211" s="100"/>
      <c r="L211" s="601"/>
    </row>
    <row r="212" spans="1:19" s="243" customFormat="1" ht="13.5" customHeight="1">
      <c r="A212" s="239"/>
      <c r="B212" s="240"/>
      <c r="C212" s="241"/>
      <c r="D212" s="250" t="s">
        <v>60</v>
      </c>
      <c r="E212" s="241"/>
      <c r="F212" s="246">
        <f>10.8-1.056</f>
        <v>9.7439999999999998</v>
      </c>
      <c r="G212" s="242"/>
      <c r="H212" s="242"/>
      <c r="I212" s="196"/>
      <c r="J212" s="100"/>
      <c r="L212" s="601"/>
    </row>
    <row r="213" spans="1:19" s="92" customFormat="1" ht="13.5" customHeight="1">
      <c r="A213" s="170"/>
      <c r="B213" s="89"/>
      <c r="C213" s="89"/>
      <c r="D213" s="80" t="s">
        <v>80</v>
      </c>
      <c r="E213" s="89"/>
      <c r="F213" s="142"/>
      <c r="G213" s="91"/>
      <c r="H213" s="91"/>
      <c r="I213" s="176"/>
      <c r="J213" s="100"/>
    </row>
    <row r="214" spans="1:19" s="233" customFormat="1" ht="13.5" customHeight="1">
      <c r="A214" s="230"/>
      <c r="B214" s="231"/>
      <c r="C214" s="231"/>
      <c r="D214" s="231" t="s">
        <v>280</v>
      </c>
      <c r="E214" s="231"/>
      <c r="F214" s="207"/>
      <c r="G214" s="232"/>
      <c r="H214" s="232"/>
      <c r="I214" s="234"/>
      <c r="J214" s="100"/>
    </row>
    <row r="215" spans="1:19" s="233" customFormat="1" ht="27" customHeight="1">
      <c r="A215" s="230"/>
      <c r="B215" s="231"/>
      <c r="C215" s="231"/>
      <c r="D215" s="231" t="s">
        <v>281</v>
      </c>
      <c r="E215" s="231"/>
      <c r="F215" s="207"/>
      <c r="G215" s="232"/>
      <c r="H215" s="232"/>
      <c r="I215" s="234"/>
      <c r="J215" s="100"/>
      <c r="S215" s="592"/>
    </row>
    <row r="216" spans="1:19" s="233" customFormat="1" ht="13.5" customHeight="1">
      <c r="A216" s="230"/>
      <c r="B216" s="231"/>
      <c r="C216" s="231"/>
      <c r="D216" s="231" t="s">
        <v>133</v>
      </c>
      <c r="E216" s="231"/>
      <c r="F216" s="207"/>
      <c r="G216" s="232"/>
      <c r="H216" s="232"/>
      <c r="I216" s="234"/>
      <c r="J216" s="100"/>
    </row>
    <row r="217" spans="1:19" s="243" customFormat="1" ht="13.5" customHeight="1">
      <c r="A217" s="239">
        <v>30</v>
      </c>
      <c r="B217" s="240">
        <v>766</v>
      </c>
      <c r="C217" s="241" t="s">
        <v>287</v>
      </c>
      <c r="D217" s="241" t="s">
        <v>503</v>
      </c>
      <c r="E217" s="241" t="s">
        <v>48</v>
      </c>
      <c r="F217" s="236">
        <f>SUM(F219:F219)</f>
        <v>3.08</v>
      </c>
      <c r="G217" s="242">
        <v>30000</v>
      </c>
      <c r="H217" s="138">
        <f>F217*G217</f>
        <v>92400</v>
      </c>
      <c r="I217" s="196" t="s">
        <v>49</v>
      </c>
      <c r="J217" s="100"/>
      <c r="L217" s="601"/>
      <c r="M217" s="602"/>
    </row>
    <row r="218" spans="1:19" s="243" customFormat="1" ht="13.5" customHeight="1">
      <c r="A218" s="239"/>
      <c r="B218" s="240"/>
      <c r="C218" s="241"/>
      <c r="D218" s="250" t="s">
        <v>286</v>
      </c>
      <c r="E218" s="241"/>
      <c r="F218" s="246"/>
      <c r="G218" s="242"/>
      <c r="H218" s="242"/>
      <c r="I218" s="196"/>
      <c r="J218" s="100"/>
      <c r="L218" s="601"/>
    </row>
    <row r="219" spans="1:19" s="243" customFormat="1" ht="13.5" customHeight="1">
      <c r="A219" s="239"/>
      <c r="B219" s="240"/>
      <c r="C219" s="241"/>
      <c r="D219" s="250" t="s">
        <v>60</v>
      </c>
      <c r="E219" s="241"/>
      <c r="F219" s="246">
        <f>1.1*2.8</f>
        <v>3.08</v>
      </c>
      <c r="G219" s="242"/>
      <c r="H219" s="242"/>
      <c r="I219" s="196"/>
      <c r="J219" s="100"/>
      <c r="L219" s="601"/>
    </row>
    <row r="220" spans="1:19" s="92" customFormat="1" ht="13.5" customHeight="1">
      <c r="A220" s="170"/>
      <c r="B220" s="89"/>
      <c r="C220" s="89"/>
      <c r="D220" s="80" t="s">
        <v>80</v>
      </c>
      <c r="E220" s="89"/>
      <c r="F220" s="142"/>
      <c r="G220" s="91"/>
      <c r="H220" s="91"/>
      <c r="I220" s="176"/>
      <c r="J220" s="100"/>
    </row>
    <row r="221" spans="1:19" s="233" customFormat="1" ht="13.5" customHeight="1">
      <c r="A221" s="230"/>
      <c r="B221" s="231"/>
      <c r="C221" s="231"/>
      <c r="D221" s="231" t="s">
        <v>284</v>
      </c>
      <c r="E221" s="231"/>
      <c r="F221" s="207"/>
      <c r="G221" s="232"/>
      <c r="H221" s="232"/>
      <c r="I221" s="234"/>
      <c r="J221" s="100"/>
    </row>
    <row r="222" spans="1:19" s="233" customFormat="1" ht="27" customHeight="1">
      <c r="A222" s="230"/>
      <c r="B222" s="231"/>
      <c r="C222" s="231"/>
      <c r="D222" s="231" t="s">
        <v>285</v>
      </c>
      <c r="E222" s="231"/>
      <c r="F222" s="207"/>
      <c r="G222" s="232"/>
      <c r="H222" s="232"/>
      <c r="I222" s="234"/>
      <c r="J222" s="100"/>
      <c r="S222" s="592"/>
    </row>
    <row r="223" spans="1:19" s="233" customFormat="1" ht="13.5" customHeight="1">
      <c r="A223" s="230"/>
      <c r="B223" s="231"/>
      <c r="C223" s="231"/>
      <c r="D223" s="231" t="s">
        <v>133</v>
      </c>
      <c r="E223" s="231"/>
      <c r="F223" s="207"/>
      <c r="G223" s="232"/>
      <c r="H223" s="232"/>
      <c r="I223" s="234"/>
      <c r="J223" s="100"/>
    </row>
    <row r="224" spans="1:19" s="216" customFormat="1" ht="13.5" customHeight="1">
      <c r="A224" s="213">
        <v>31</v>
      </c>
      <c r="B224" s="73" t="s">
        <v>54</v>
      </c>
      <c r="C224" s="73" t="s">
        <v>298</v>
      </c>
      <c r="D224" s="73" t="s">
        <v>299</v>
      </c>
      <c r="E224" s="73" t="s">
        <v>44</v>
      </c>
      <c r="F224" s="236">
        <f>SUM(F225:F225)</f>
        <v>20</v>
      </c>
      <c r="G224" s="215">
        <v>464</v>
      </c>
      <c r="H224" s="138">
        <f>F224*G224</f>
        <v>9280</v>
      </c>
      <c r="I224" s="251" t="s">
        <v>45</v>
      </c>
      <c r="J224" s="100"/>
    </row>
    <row r="225" spans="1:18" s="78" customFormat="1" ht="13.5" customHeight="1">
      <c r="A225" s="217"/>
      <c r="B225" s="218"/>
      <c r="C225" s="218"/>
      <c r="D225" s="76" t="s">
        <v>300</v>
      </c>
      <c r="E225" s="218"/>
      <c r="F225" s="207">
        <v>20</v>
      </c>
      <c r="G225" s="220"/>
      <c r="H225" s="215"/>
      <c r="I225" s="212"/>
      <c r="J225" s="100"/>
    </row>
    <row r="226" spans="1:18" s="78" customFormat="1" ht="13.5" customHeight="1">
      <c r="A226" s="217"/>
      <c r="B226" s="218"/>
      <c r="C226" s="218"/>
      <c r="D226" s="76" t="s">
        <v>64</v>
      </c>
      <c r="E226" s="218"/>
      <c r="F226" s="207"/>
      <c r="G226" s="220"/>
      <c r="H226" s="215"/>
      <c r="I226" s="212"/>
      <c r="J226" s="100"/>
    </row>
    <row r="227" spans="1:18" s="100" customFormat="1" ht="13.5" customHeight="1">
      <c r="A227" s="146"/>
      <c r="B227" s="147"/>
      <c r="C227" s="147">
        <v>781</v>
      </c>
      <c r="D227" s="147" t="s">
        <v>100</v>
      </c>
      <c r="E227" s="147"/>
      <c r="F227" s="148"/>
      <c r="G227" s="149"/>
      <c r="H227" s="149">
        <f>SUM(H228:H241)</f>
        <v>35009.22</v>
      </c>
      <c r="I227" s="163"/>
      <c r="L227" s="599"/>
    </row>
    <row r="228" spans="1:18" s="243" customFormat="1" ht="13.5" customHeight="1">
      <c r="A228" s="239">
        <v>32</v>
      </c>
      <c r="B228" s="240" t="s">
        <v>335</v>
      </c>
      <c r="C228" s="241" t="s">
        <v>336</v>
      </c>
      <c r="D228" s="241" t="s">
        <v>337</v>
      </c>
      <c r="E228" s="241" t="s">
        <v>48</v>
      </c>
      <c r="F228" s="236">
        <f>SUM(F229:F229)</f>
        <v>12.439</v>
      </c>
      <c r="G228" s="242">
        <v>1980</v>
      </c>
      <c r="H228" s="138">
        <f>F228*G228</f>
        <v>24629.22</v>
      </c>
      <c r="I228" s="99" t="s">
        <v>49</v>
      </c>
      <c r="J228" s="100"/>
      <c r="L228" s="601"/>
      <c r="M228" s="602"/>
    </row>
    <row r="229" spans="1:18" s="243" customFormat="1" ht="13.5" customHeight="1">
      <c r="A229" s="244"/>
      <c r="B229" s="245"/>
      <c r="C229" s="245"/>
      <c r="D229" s="179" t="s">
        <v>338</v>
      </c>
      <c r="E229" s="178"/>
      <c r="F229" s="246">
        <v>12.439</v>
      </c>
      <c r="G229" s="247"/>
      <c r="H229" s="247"/>
      <c r="I229" s="106"/>
      <c r="J229" s="100"/>
      <c r="K229" s="620"/>
      <c r="L229" s="603"/>
      <c r="N229" s="604"/>
      <c r="R229" s="602"/>
    </row>
    <row r="230" spans="1:18" s="92" customFormat="1" ht="13.5" customHeight="1">
      <c r="A230" s="170"/>
      <c r="B230" s="89"/>
      <c r="C230" s="89"/>
      <c r="D230" s="80" t="s">
        <v>80</v>
      </c>
      <c r="E230" s="89"/>
      <c r="F230" s="142"/>
      <c r="G230" s="91"/>
      <c r="H230" s="91"/>
      <c r="I230" s="106"/>
      <c r="J230" s="100"/>
      <c r="L230" s="603"/>
      <c r="M230" s="243"/>
    </row>
    <row r="231" spans="1:18" s="112" customFormat="1" ht="13.5" customHeight="1">
      <c r="A231" s="171"/>
      <c r="B231" s="158"/>
      <c r="C231" s="158"/>
      <c r="D231" s="158" t="s">
        <v>339</v>
      </c>
      <c r="E231" s="158"/>
      <c r="F231" s="113"/>
      <c r="G231" s="172"/>
      <c r="H231" s="172"/>
      <c r="I231" s="99"/>
      <c r="J231" s="100"/>
      <c r="K231" s="620"/>
      <c r="L231" s="92"/>
      <c r="M231" s="92"/>
      <c r="N231" s="92"/>
    </row>
    <row r="232" spans="1:18" s="112" customFormat="1" ht="13.5" customHeight="1">
      <c r="A232" s="171"/>
      <c r="B232" s="158"/>
      <c r="C232" s="158"/>
      <c r="D232" s="158" t="s">
        <v>340</v>
      </c>
      <c r="E232" s="158"/>
      <c r="F232" s="113"/>
      <c r="G232" s="172"/>
      <c r="H232" s="172"/>
      <c r="I232" s="173"/>
      <c r="J232" s="100"/>
      <c r="K232" s="620"/>
      <c r="L232" s="92"/>
      <c r="M232" s="92"/>
      <c r="N232" s="92"/>
    </row>
    <row r="233" spans="1:18" s="112" customFormat="1" ht="13.5" customHeight="1">
      <c r="A233" s="171"/>
      <c r="B233" s="158"/>
      <c r="C233" s="158"/>
      <c r="D233" s="158" t="s">
        <v>341</v>
      </c>
      <c r="E233" s="158"/>
      <c r="F233" s="113"/>
      <c r="G233" s="172"/>
      <c r="H233" s="172"/>
      <c r="I233" s="173"/>
      <c r="J233" s="100"/>
      <c r="K233" s="620"/>
    </row>
    <row r="234" spans="1:18" s="112" customFormat="1" ht="13.5" customHeight="1">
      <c r="A234" s="171"/>
      <c r="B234" s="158"/>
      <c r="C234" s="158"/>
      <c r="D234" s="158" t="s">
        <v>342</v>
      </c>
      <c r="E234" s="158"/>
      <c r="F234" s="113"/>
      <c r="G234" s="172"/>
      <c r="H234" s="172"/>
      <c r="I234" s="173"/>
      <c r="J234" s="100"/>
      <c r="K234" s="620"/>
    </row>
    <row r="235" spans="1:18" s="112" customFormat="1" ht="13.5" customHeight="1">
      <c r="A235" s="171"/>
      <c r="B235" s="158"/>
      <c r="C235" s="158"/>
      <c r="D235" s="158" t="s">
        <v>343</v>
      </c>
      <c r="E235" s="158"/>
      <c r="F235" s="113"/>
      <c r="G235" s="172"/>
      <c r="H235" s="172"/>
      <c r="I235" s="253"/>
      <c r="J235" s="100"/>
      <c r="K235" s="620"/>
    </row>
    <row r="236" spans="1:18" s="112" customFormat="1" ht="13.5" customHeight="1">
      <c r="A236" s="171"/>
      <c r="B236" s="158"/>
      <c r="C236" s="158"/>
      <c r="D236" s="158" t="s">
        <v>344</v>
      </c>
      <c r="E236" s="158"/>
      <c r="F236" s="113"/>
      <c r="G236" s="172"/>
      <c r="H236" s="172"/>
      <c r="I236" s="173"/>
      <c r="J236" s="100"/>
      <c r="K236" s="620"/>
    </row>
    <row r="237" spans="1:18" s="112" customFormat="1" ht="13.5" customHeight="1">
      <c r="A237" s="171"/>
      <c r="B237" s="158"/>
      <c r="C237" s="158"/>
      <c r="D237" s="158" t="s">
        <v>345</v>
      </c>
      <c r="E237" s="158"/>
      <c r="F237" s="113"/>
      <c r="G237" s="172"/>
      <c r="H237" s="172"/>
      <c r="I237" s="173"/>
      <c r="J237" s="100"/>
      <c r="K237" s="243"/>
    </row>
    <row r="238" spans="1:18" s="112" customFormat="1" ht="13.5" customHeight="1">
      <c r="A238" s="171"/>
      <c r="B238" s="158"/>
      <c r="C238" s="158"/>
      <c r="D238" s="80" t="s">
        <v>346</v>
      </c>
      <c r="E238" s="158"/>
      <c r="F238" s="113"/>
      <c r="G238" s="172"/>
      <c r="H238" s="172"/>
      <c r="I238" s="173"/>
      <c r="J238" s="100"/>
      <c r="K238" s="100"/>
      <c r="L238" s="100"/>
      <c r="M238" s="100"/>
      <c r="N238" s="100"/>
    </row>
    <row r="239" spans="1:18" s="100" customFormat="1" ht="13.5" customHeight="1">
      <c r="A239" s="165">
        <v>33</v>
      </c>
      <c r="B239" s="97" t="s">
        <v>54</v>
      </c>
      <c r="C239" s="97" t="s">
        <v>347</v>
      </c>
      <c r="D239" s="97" t="s">
        <v>348</v>
      </c>
      <c r="E239" s="97" t="s">
        <v>44</v>
      </c>
      <c r="F239" s="236">
        <f>SUM(F240:F240)</f>
        <v>20</v>
      </c>
      <c r="G239" s="98">
        <v>519</v>
      </c>
      <c r="H239" s="138">
        <f>F239*G239</f>
        <v>10380</v>
      </c>
      <c r="I239" s="251" t="s">
        <v>45</v>
      </c>
    </row>
    <row r="240" spans="1:18" s="100" customFormat="1" ht="13.5" customHeight="1">
      <c r="A240" s="197"/>
      <c r="B240" s="103"/>
      <c r="C240" s="103"/>
      <c r="D240" s="101" t="s">
        <v>349</v>
      </c>
      <c r="E240" s="103"/>
      <c r="F240" s="113">
        <v>20</v>
      </c>
      <c r="G240" s="104"/>
      <c r="H240" s="98"/>
      <c r="I240" s="109"/>
    </row>
    <row r="241" spans="1:18" s="100" customFormat="1" ht="13.5" customHeight="1">
      <c r="A241" s="197"/>
      <c r="B241" s="103"/>
      <c r="C241" s="103"/>
      <c r="D241" s="101" t="s">
        <v>64</v>
      </c>
      <c r="E241" s="103"/>
      <c r="F241" s="113"/>
      <c r="G241" s="104"/>
      <c r="H241" s="98"/>
      <c r="I241" s="109"/>
    </row>
    <row r="242" spans="1:18" s="100" customFormat="1" ht="13.5" customHeight="1">
      <c r="A242" s="146"/>
      <c r="B242" s="147"/>
      <c r="C242" s="147">
        <v>784</v>
      </c>
      <c r="D242" s="147" t="s">
        <v>101</v>
      </c>
      <c r="E242" s="147"/>
      <c r="F242" s="148"/>
      <c r="G242" s="149"/>
      <c r="H242" s="149">
        <f>SUM(H243:H255)</f>
        <v>101853.21027999998</v>
      </c>
      <c r="I242" s="163"/>
      <c r="L242" s="599"/>
    </row>
    <row r="243" spans="1:18" s="243" customFormat="1" ht="13.5" customHeight="1">
      <c r="A243" s="239">
        <v>34</v>
      </c>
      <c r="B243" s="240" t="s">
        <v>350</v>
      </c>
      <c r="C243" s="241" t="s">
        <v>351</v>
      </c>
      <c r="D243" s="241" t="s">
        <v>352</v>
      </c>
      <c r="E243" s="241" t="s">
        <v>48</v>
      </c>
      <c r="F243" s="236">
        <f>SUM(F244:F244)</f>
        <v>354.21452999999997</v>
      </c>
      <c r="G243" s="242">
        <v>276</v>
      </c>
      <c r="H243" s="138">
        <f>F243*G243</f>
        <v>97763.210279999985</v>
      </c>
      <c r="I243" s="99" t="s">
        <v>49</v>
      </c>
      <c r="J243" s="100"/>
    </row>
    <row r="244" spans="1:18" s="243" customFormat="1" ht="13.5" customHeight="1">
      <c r="A244" s="244"/>
      <c r="B244" s="245"/>
      <c r="C244" s="245"/>
      <c r="D244" s="179" t="s">
        <v>501</v>
      </c>
      <c r="E244" s="178"/>
      <c r="F244" s="113">
        <f>(91.233*3.41)+2.49+18.46+3.15+7.32+1.08+4.38+1.5+4.73</f>
        <v>354.21452999999997</v>
      </c>
      <c r="G244" s="247"/>
      <c r="H244" s="247"/>
      <c r="I244" s="106"/>
      <c r="J244" s="100"/>
      <c r="L244" s="92"/>
      <c r="M244" s="92"/>
      <c r="N244" s="604"/>
      <c r="R244" s="602"/>
    </row>
    <row r="245" spans="1:18" s="92" customFormat="1" ht="13.5" customHeight="1">
      <c r="A245" s="170"/>
      <c r="B245" s="89"/>
      <c r="C245" s="89"/>
      <c r="D245" s="80" t="s">
        <v>80</v>
      </c>
      <c r="E245" s="89"/>
      <c r="F245" s="142"/>
      <c r="G245" s="91"/>
      <c r="H245" s="91"/>
      <c r="I245" s="106"/>
      <c r="J245" s="100"/>
      <c r="K245" s="243"/>
      <c r="L245" s="601"/>
      <c r="N245" s="112"/>
    </row>
    <row r="246" spans="1:18" s="112" customFormat="1" ht="13.5" customHeight="1">
      <c r="A246" s="171"/>
      <c r="B246" s="158"/>
      <c r="C246" s="158"/>
      <c r="D246" s="158" t="s">
        <v>353</v>
      </c>
      <c r="E246" s="158"/>
      <c r="F246" s="113"/>
      <c r="G246" s="172"/>
      <c r="H246" s="172"/>
      <c r="I246" s="106"/>
      <c r="J246" s="100"/>
      <c r="K246" s="243"/>
    </row>
    <row r="247" spans="1:18" s="112" customFormat="1" ht="13.5" customHeight="1">
      <c r="A247" s="171"/>
      <c r="B247" s="158"/>
      <c r="C247" s="158"/>
      <c r="D247" s="158" t="s">
        <v>354</v>
      </c>
      <c r="E247" s="158"/>
      <c r="F247" s="113"/>
      <c r="G247" s="172"/>
      <c r="H247" s="172"/>
      <c r="I247" s="173"/>
      <c r="J247" s="100"/>
      <c r="K247" s="243"/>
    </row>
    <row r="248" spans="1:18" s="112" customFormat="1" ht="13.5" customHeight="1">
      <c r="A248" s="171"/>
      <c r="B248" s="158"/>
      <c r="C248" s="158"/>
      <c r="D248" s="158" t="s">
        <v>355</v>
      </c>
      <c r="E248" s="158"/>
      <c r="F248" s="113"/>
      <c r="G248" s="172"/>
      <c r="H248" s="172"/>
      <c r="I248" s="173"/>
      <c r="J248" s="100"/>
      <c r="K248" s="243"/>
    </row>
    <row r="249" spans="1:18" s="112" customFormat="1" ht="13.5" customHeight="1">
      <c r="A249" s="171"/>
      <c r="B249" s="158"/>
      <c r="C249" s="158"/>
      <c r="D249" s="158" t="s">
        <v>356</v>
      </c>
      <c r="E249" s="158"/>
      <c r="F249" s="113"/>
      <c r="G249" s="172"/>
      <c r="H249" s="172"/>
      <c r="I249" s="173"/>
      <c r="J249" s="100"/>
      <c r="K249" s="243"/>
    </row>
    <row r="250" spans="1:18" s="112" customFormat="1" ht="13.5" customHeight="1">
      <c r="A250" s="171"/>
      <c r="B250" s="158"/>
      <c r="C250" s="158"/>
      <c r="D250" s="158" t="s">
        <v>357</v>
      </c>
      <c r="E250" s="158"/>
      <c r="F250" s="113"/>
      <c r="G250" s="172"/>
      <c r="H250" s="172"/>
      <c r="I250" s="173"/>
      <c r="J250" s="100"/>
      <c r="K250" s="243"/>
    </row>
    <row r="251" spans="1:18" s="112" customFormat="1" ht="13.5" customHeight="1">
      <c r="A251" s="171"/>
      <c r="B251" s="158"/>
      <c r="C251" s="158"/>
      <c r="D251" s="158" t="s">
        <v>358</v>
      </c>
      <c r="E251" s="158"/>
      <c r="F251" s="113"/>
      <c r="G251" s="172"/>
      <c r="H251" s="172"/>
      <c r="I251" s="173"/>
      <c r="J251" s="100"/>
      <c r="K251" s="243"/>
    </row>
    <row r="252" spans="1:18" s="112" customFormat="1" ht="13.5" customHeight="1">
      <c r="A252" s="171"/>
      <c r="B252" s="158"/>
      <c r="C252" s="158"/>
      <c r="D252" s="80" t="s">
        <v>359</v>
      </c>
      <c r="E252" s="158"/>
      <c r="F252" s="113"/>
      <c r="G252" s="172"/>
      <c r="H252" s="172"/>
      <c r="I252" s="173"/>
      <c r="J252" s="100"/>
      <c r="L252" s="622"/>
    </row>
    <row r="253" spans="1:18" s="100" customFormat="1" ht="13.5" customHeight="1">
      <c r="A253" s="165">
        <v>35</v>
      </c>
      <c r="B253" s="97" t="s">
        <v>54</v>
      </c>
      <c r="C253" s="97" t="s">
        <v>68</v>
      </c>
      <c r="D253" s="97" t="s">
        <v>69</v>
      </c>
      <c r="E253" s="97" t="s">
        <v>44</v>
      </c>
      <c r="F253" s="254">
        <f>F254</f>
        <v>10</v>
      </c>
      <c r="G253" s="98">
        <v>409</v>
      </c>
      <c r="H253" s="138">
        <f>F253*G253</f>
        <v>4090</v>
      </c>
      <c r="I253" s="99" t="s">
        <v>45</v>
      </c>
    </row>
    <row r="254" spans="1:18" s="100" customFormat="1" ht="13.5" customHeight="1">
      <c r="A254" s="197"/>
      <c r="B254" s="103"/>
      <c r="C254" s="103"/>
      <c r="D254" s="101" t="s">
        <v>349</v>
      </c>
      <c r="E254" s="103"/>
      <c r="F254" s="113">
        <v>10</v>
      </c>
      <c r="G254" s="104"/>
      <c r="H254" s="98"/>
      <c r="I254" s="109"/>
    </row>
    <row r="255" spans="1:18" s="100" customFormat="1" ht="13.5" customHeight="1">
      <c r="A255" s="197"/>
      <c r="B255" s="103"/>
      <c r="C255" s="103"/>
      <c r="D255" s="101" t="s">
        <v>64</v>
      </c>
      <c r="E255" s="103"/>
      <c r="F255" s="113"/>
      <c r="G255" s="104"/>
      <c r="H255" s="98"/>
      <c r="I255" s="109"/>
    </row>
    <row r="256" spans="1:18" s="100" customFormat="1" ht="21" customHeight="1">
      <c r="A256" s="259"/>
      <c r="B256" s="260"/>
      <c r="C256" s="260"/>
      <c r="D256" s="260" t="s">
        <v>0</v>
      </c>
      <c r="E256" s="260"/>
      <c r="F256" s="261"/>
      <c r="G256" s="262"/>
      <c r="H256" s="262">
        <f>H8+H109</f>
        <v>3686704.1752800001</v>
      </c>
      <c r="I256" s="271"/>
      <c r="K256" s="114"/>
      <c r="L256" s="114"/>
      <c r="M256" s="114"/>
      <c r="N256" s="114"/>
    </row>
    <row r="257" spans="1:14" s="100" customFormat="1" ht="12" customHeight="1">
      <c r="A257" s="263"/>
      <c r="B257" s="264"/>
      <c r="C257" s="264"/>
      <c r="D257" s="264"/>
      <c r="E257" s="264"/>
      <c r="F257" s="265"/>
      <c r="G257" s="266"/>
      <c r="H257" s="266"/>
      <c r="K257" s="114"/>
      <c r="L257" s="114"/>
      <c r="M257" s="114"/>
      <c r="N257" s="114"/>
    </row>
    <row r="258" spans="1:14" s="100" customFormat="1" ht="13.5" customHeight="1">
      <c r="A258" s="677" t="s">
        <v>65</v>
      </c>
      <c r="B258" s="678"/>
      <c r="C258" s="679"/>
      <c r="D258" s="267" t="s">
        <v>507</v>
      </c>
      <c r="E258" s="268"/>
      <c r="F258" s="269"/>
      <c r="G258" s="270"/>
      <c r="H258" s="383">
        <f>H256</f>
        <v>3686704.1752800001</v>
      </c>
      <c r="K258" s="114"/>
      <c r="L258" s="114"/>
      <c r="M258" s="114"/>
      <c r="N258" s="114"/>
    </row>
    <row r="259" spans="1:14" s="51" customFormat="1">
      <c r="A259" s="51" t="s">
        <v>1</v>
      </c>
      <c r="J259" s="100"/>
      <c r="K259" s="114"/>
      <c r="L259" s="114"/>
      <c r="M259" s="114"/>
      <c r="N259" s="114"/>
    </row>
    <row r="260" spans="1:14" s="100" customFormat="1" ht="23.4" customHeight="1">
      <c r="A260" s="672" t="s">
        <v>66</v>
      </c>
      <c r="B260" s="680"/>
      <c r="C260" s="680"/>
      <c r="D260" s="680"/>
      <c r="E260" s="680"/>
      <c r="F260" s="680"/>
      <c r="G260" s="680"/>
      <c r="H260" s="51"/>
      <c r="K260" s="114"/>
      <c r="L260" s="114"/>
      <c r="M260" s="114"/>
      <c r="N260" s="114"/>
    </row>
    <row r="261" spans="1:14" s="51" customFormat="1" ht="93.75" customHeight="1">
      <c r="A261" s="672" t="s">
        <v>24</v>
      </c>
      <c r="B261" s="681"/>
      <c r="C261" s="681"/>
      <c r="D261" s="681"/>
      <c r="E261" s="681"/>
      <c r="F261" s="681"/>
      <c r="G261" s="681"/>
      <c r="J261" s="100"/>
      <c r="K261" s="114"/>
      <c r="L261" s="114"/>
      <c r="M261" s="114"/>
      <c r="N261" s="114"/>
    </row>
    <row r="262" spans="1:14" s="111" customFormat="1" ht="13.5" customHeight="1">
      <c r="A262" s="672" t="s">
        <v>25</v>
      </c>
      <c r="B262" s="673"/>
      <c r="C262" s="673"/>
      <c r="D262" s="673"/>
      <c r="E262" s="673"/>
      <c r="F262" s="673"/>
      <c r="G262" s="673"/>
      <c r="H262" s="65"/>
      <c r="I262" s="65"/>
      <c r="J262" s="100"/>
      <c r="K262" s="114"/>
      <c r="L262" s="114"/>
      <c r="M262" s="114"/>
      <c r="N262" s="114"/>
    </row>
    <row r="263" spans="1:14" s="111" customFormat="1" ht="13.5" customHeight="1">
      <c r="A263" s="672" t="s">
        <v>26</v>
      </c>
      <c r="B263" s="673"/>
      <c r="C263" s="673"/>
      <c r="D263" s="673"/>
      <c r="E263" s="673"/>
      <c r="F263" s="673"/>
      <c r="G263" s="673"/>
      <c r="H263" s="65"/>
      <c r="I263" s="65"/>
      <c r="J263" s="100"/>
      <c r="K263" s="114"/>
      <c r="L263" s="114"/>
      <c r="M263" s="114"/>
      <c r="N263" s="114"/>
    </row>
    <row r="264" spans="1:14" s="117" customFormat="1" ht="13.5" customHeight="1">
      <c r="A264" s="674"/>
      <c r="B264" s="674"/>
      <c r="C264" s="674"/>
      <c r="D264" s="674"/>
      <c r="E264" s="674"/>
      <c r="F264" s="674"/>
      <c r="G264" s="674"/>
      <c r="H264" s="216"/>
    </row>
    <row r="265" spans="1:14" s="95" customFormat="1" ht="13.5" customHeight="1">
      <c r="A265" s="674"/>
      <c r="B265" s="674"/>
      <c r="C265" s="674"/>
      <c r="D265" s="674"/>
      <c r="E265" s="674"/>
      <c r="F265" s="674"/>
      <c r="G265" s="674"/>
    </row>
  </sheetData>
  <mergeCells count="8">
    <mergeCell ref="A262:G262"/>
    <mergeCell ref="A263:G263"/>
    <mergeCell ref="A264:G264"/>
    <mergeCell ref="A265:G265"/>
    <mergeCell ref="A2:I2"/>
    <mergeCell ref="A258:C258"/>
    <mergeCell ref="A260:G260"/>
    <mergeCell ref="A261:G26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0" fitToHeight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6CF5F-3D0F-4FFD-A156-2F6D7FB42569}">
  <dimension ref="A1:Q122"/>
  <sheetViews>
    <sheetView showGridLines="0" topLeftCell="A55" zoomScaleNormal="100" workbookViewId="0">
      <selection sqref="A1:G1"/>
    </sheetView>
  </sheetViews>
  <sheetFormatPr defaultColWidth="9.28515625" defaultRowHeight="13.2"/>
  <cols>
    <col min="1" max="1" width="3.85546875" style="287" customWidth="1"/>
    <col min="2" max="2" width="14.85546875" style="289" customWidth="1"/>
    <col min="3" max="3" width="60.28515625" style="287" customWidth="1"/>
    <col min="4" max="4" width="6.7109375" style="287" customWidth="1"/>
    <col min="5" max="6" width="12.42578125" style="287" customWidth="1"/>
    <col min="7" max="7" width="21" style="287" customWidth="1"/>
    <col min="8" max="8" width="18.85546875" style="287" customWidth="1"/>
    <col min="9" max="9" width="16.140625" style="287" customWidth="1"/>
    <col min="10" max="10" width="11.28515625" style="287" customWidth="1"/>
    <col min="11" max="11" width="13.28515625" style="288" customWidth="1"/>
    <col min="12" max="12" width="14.42578125" style="287" customWidth="1"/>
    <col min="13" max="13" width="16.42578125" style="287" customWidth="1"/>
    <col min="14" max="14" width="8.42578125" style="287" customWidth="1"/>
    <col min="15" max="15" width="11.42578125" style="287" bestFit="1" customWidth="1"/>
    <col min="16" max="16" width="15" style="287" customWidth="1"/>
    <col min="17" max="17" width="19.7109375" style="287" customWidth="1"/>
    <col min="18" max="16384" width="9.28515625" style="287"/>
  </cols>
  <sheetData>
    <row r="1" spans="1:17" ht="49.2" customHeight="1">
      <c r="A1" s="682" t="s">
        <v>481</v>
      </c>
      <c r="B1" s="683"/>
      <c r="C1" s="683"/>
      <c r="D1" s="683"/>
      <c r="E1" s="683"/>
      <c r="F1" s="683"/>
      <c r="G1" s="683"/>
      <c r="H1" s="364"/>
      <c r="I1" s="364"/>
      <c r="J1" s="364"/>
      <c r="K1" s="360"/>
      <c r="L1" s="364"/>
      <c r="M1" s="363"/>
      <c r="N1" s="363"/>
    </row>
    <row r="2" spans="1:17" ht="27" customHeight="1">
      <c r="A2" s="684" t="s">
        <v>479</v>
      </c>
      <c r="B2" s="684"/>
      <c r="C2" s="684"/>
      <c r="D2" s="684"/>
      <c r="E2" s="684"/>
      <c r="F2" s="684"/>
      <c r="G2" s="684"/>
      <c r="H2" s="374"/>
      <c r="I2" s="367"/>
      <c r="J2" s="364"/>
      <c r="K2" s="360"/>
      <c r="L2" s="364"/>
      <c r="M2" s="363"/>
      <c r="N2" s="363"/>
    </row>
    <row r="3" spans="1:17" ht="13.2" customHeight="1">
      <c r="A3" s="373"/>
      <c r="B3" s="372"/>
      <c r="C3" s="372"/>
      <c r="D3" s="372"/>
      <c r="E3" s="372"/>
      <c r="F3" s="372"/>
      <c r="G3" s="372"/>
      <c r="H3" s="367"/>
      <c r="I3" s="367"/>
      <c r="J3" s="364"/>
      <c r="K3" s="360"/>
      <c r="L3" s="364"/>
      <c r="M3" s="363"/>
      <c r="N3" s="363"/>
    </row>
    <row r="4" spans="1:17" ht="13.5" customHeight="1">
      <c r="A4" s="370" t="s">
        <v>480</v>
      </c>
      <c r="B4" s="369"/>
      <c r="C4" s="371" t="s">
        <v>479</v>
      </c>
      <c r="D4" s="367"/>
      <c r="E4" s="367"/>
      <c r="F4" s="367"/>
      <c r="G4" s="367"/>
      <c r="H4" s="367"/>
      <c r="I4" s="364"/>
      <c r="J4" s="364"/>
      <c r="K4" s="360"/>
      <c r="L4" s="363"/>
      <c r="M4" s="363"/>
    </row>
    <row r="5" spans="1:17" ht="13.5" customHeight="1">
      <c r="A5" s="370" t="s">
        <v>478</v>
      </c>
      <c r="B5" s="369"/>
      <c r="C5" s="368" t="s">
        <v>477</v>
      </c>
      <c r="D5" s="367"/>
      <c r="E5" s="367"/>
      <c r="F5" s="367"/>
      <c r="G5" s="367"/>
      <c r="H5" s="367"/>
      <c r="I5" s="364"/>
      <c r="J5" s="364"/>
      <c r="K5" s="360"/>
      <c r="L5" s="363"/>
      <c r="M5" s="363"/>
    </row>
    <row r="6" spans="1:17">
      <c r="A6" s="364"/>
      <c r="B6" s="366"/>
      <c r="C6" s="365"/>
      <c r="D6" s="364"/>
      <c r="E6" s="364"/>
      <c r="F6" s="364"/>
      <c r="G6" s="364"/>
      <c r="H6" s="364"/>
      <c r="I6" s="364"/>
      <c r="J6" s="364"/>
      <c r="K6" s="360"/>
      <c r="L6" s="364"/>
      <c r="M6" s="363"/>
      <c r="N6" s="363"/>
    </row>
    <row r="7" spans="1:17" ht="20.399999999999999">
      <c r="A7" s="362" t="s">
        <v>476</v>
      </c>
      <c r="B7" s="362" t="s">
        <v>33</v>
      </c>
      <c r="C7" s="362" t="s">
        <v>34</v>
      </c>
      <c r="D7" s="362" t="s">
        <v>35</v>
      </c>
      <c r="E7" s="362" t="s">
        <v>36</v>
      </c>
      <c r="F7" s="362" t="s">
        <v>37</v>
      </c>
      <c r="G7" s="362" t="s">
        <v>475</v>
      </c>
      <c r="H7" s="358"/>
      <c r="I7" s="361"/>
      <c r="J7" s="361"/>
      <c r="K7" s="360"/>
      <c r="L7" s="361"/>
      <c r="M7" s="302"/>
      <c r="N7" s="302"/>
    </row>
    <row r="8" spans="1:17">
      <c r="A8" s="361"/>
      <c r="B8" s="361"/>
      <c r="C8" s="361"/>
      <c r="D8" s="361"/>
      <c r="E8" s="361"/>
      <c r="F8" s="361"/>
      <c r="G8" s="361"/>
      <c r="H8" s="361"/>
      <c r="I8" s="361"/>
      <c r="J8" s="361"/>
      <c r="K8" s="360"/>
      <c r="L8" s="359"/>
      <c r="M8" s="302"/>
      <c r="N8" s="302"/>
    </row>
    <row r="9" spans="1:17" s="309" customFormat="1" ht="18.75" customHeight="1">
      <c r="A9" s="347"/>
      <c r="B9" s="349"/>
      <c r="C9" s="348" t="s">
        <v>474</v>
      </c>
      <c r="D9" s="347"/>
      <c r="E9" s="347"/>
      <c r="F9" s="347"/>
      <c r="G9" s="346">
        <f>SUM(G10:G21)</f>
        <v>6568000</v>
      </c>
      <c r="H9" s="358"/>
      <c r="I9" s="344"/>
      <c r="K9" s="343"/>
    </row>
    <row r="10" spans="1:17" s="295" customFormat="1" ht="13.5" customHeight="1">
      <c r="A10" s="339">
        <v>1</v>
      </c>
      <c r="B10" s="339" t="s">
        <v>473</v>
      </c>
      <c r="C10" s="340" t="s">
        <v>472</v>
      </c>
      <c r="D10" s="339" t="s">
        <v>23</v>
      </c>
      <c r="E10" s="338">
        <f>E12</f>
        <v>1</v>
      </c>
      <c r="F10" s="337">
        <v>6441500</v>
      </c>
      <c r="G10" s="337">
        <f>E10*F10</f>
        <v>6441500</v>
      </c>
      <c r="H10" s="332"/>
      <c r="I10" s="356"/>
      <c r="J10" s="299"/>
      <c r="K10" s="298"/>
      <c r="L10" s="357"/>
      <c r="M10" s="296"/>
      <c r="Q10" s="335"/>
    </row>
    <row r="11" spans="1:17" s="315" customFormat="1" ht="94.5" customHeight="1">
      <c r="A11" s="326"/>
      <c r="B11" s="326"/>
      <c r="C11" s="325" t="s">
        <v>471</v>
      </c>
      <c r="D11" s="324"/>
      <c r="E11" s="323"/>
      <c r="F11" s="322"/>
      <c r="G11" s="329"/>
      <c r="H11" s="332"/>
      <c r="I11" s="318"/>
      <c r="J11" s="356"/>
      <c r="K11" s="330"/>
      <c r="L11" s="317"/>
      <c r="M11" s="296"/>
    </row>
    <row r="12" spans="1:17" s="315" customFormat="1" ht="14.25" customHeight="1">
      <c r="A12" s="326"/>
      <c r="B12" s="326"/>
      <c r="C12" s="325" t="s">
        <v>461</v>
      </c>
      <c r="D12" s="324"/>
      <c r="E12" s="323">
        <v>1</v>
      </c>
      <c r="F12" s="322"/>
      <c r="G12" s="321"/>
      <c r="H12" s="318"/>
      <c r="I12" s="319"/>
      <c r="J12" s="318"/>
      <c r="K12" s="330"/>
      <c r="L12" s="317"/>
    </row>
    <row r="13" spans="1:17" s="295" customFormat="1" ht="13.5" customHeight="1">
      <c r="A13" s="339">
        <v>2</v>
      </c>
      <c r="B13" s="339" t="s">
        <v>470</v>
      </c>
      <c r="C13" s="340" t="s">
        <v>469</v>
      </c>
      <c r="D13" s="339" t="s">
        <v>23</v>
      </c>
      <c r="E13" s="338">
        <f>E15</f>
        <v>1</v>
      </c>
      <c r="F13" s="337">
        <v>52500</v>
      </c>
      <c r="G13" s="337">
        <f>E13*F13</f>
        <v>52500</v>
      </c>
      <c r="H13" s="332"/>
      <c r="I13" s="356"/>
      <c r="J13" s="299"/>
      <c r="K13" s="298"/>
      <c r="L13" s="357"/>
      <c r="M13" s="296"/>
      <c r="Q13" s="335"/>
    </row>
    <row r="14" spans="1:17" s="315" customFormat="1" ht="67.5" customHeight="1">
      <c r="A14" s="326"/>
      <c r="B14" s="326"/>
      <c r="C14" s="325" t="s">
        <v>468</v>
      </c>
      <c r="D14" s="324"/>
      <c r="E14" s="323"/>
      <c r="F14" s="322"/>
      <c r="G14" s="329"/>
      <c r="H14" s="332"/>
      <c r="I14" s="318"/>
      <c r="J14" s="356"/>
      <c r="K14" s="330"/>
      <c r="L14" s="317"/>
      <c r="M14" s="296"/>
    </row>
    <row r="15" spans="1:17" s="315" customFormat="1" ht="14.25" customHeight="1">
      <c r="A15" s="326"/>
      <c r="B15" s="326"/>
      <c r="C15" s="325" t="s">
        <v>461</v>
      </c>
      <c r="D15" s="324"/>
      <c r="E15" s="323">
        <v>1</v>
      </c>
      <c r="F15" s="322"/>
      <c r="G15" s="321"/>
      <c r="H15" s="318"/>
      <c r="I15" s="319"/>
      <c r="J15" s="318"/>
      <c r="K15" s="330"/>
      <c r="L15" s="316"/>
    </row>
    <row r="16" spans="1:17" s="295" customFormat="1" ht="13.5" customHeight="1">
      <c r="A16" s="339">
        <v>3</v>
      </c>
      <c r="B16" s="339" t="s">
        <v>467</v>
      </c>
      <c r="C16" s="340" t="s">
        <v>466</v>
      </c>
      <c r="D16" s="339" t="s">
        <v>23</v>
      </c>
      <c r="E16" s="338">
        <f>E18</f>
        <v>1</v>
      </c>
      <c r="F16" s="337">
        <v>70000</v>
      </c>
      <c r="G16" s="337">
        <f>E16*F16</f>
        <v>70000</v>
      </c>
      <c r="H16" s="332"/>
      <c r="I16" s="356"/>
      <c r="J16" s="299"/>
      <c r="K16" s="298"/>
      <c r="L16" s="357"/>
      <c r="M16" s="296"/>
      <c r="Q16" s="335"/>
    </row>
    <row r="17" spans="1:17" s="315" customFormat="1" ht="67.5" customHeight="1">
      <c r="A17" s="326"/>
      <c r="B17" s="326"/>
      <c r="C17" s="325" t="s">
        <v>465</v>
      </c>
      <c r="D17" s="324"/>
      <c r="E17" s="323"/>
      <c r="F17" s="322"/>
      <c r="G17" s="329"/>
      <c r="H17" s="332"/>
      <c r="I17" s="318"/>
      <c r="J17" s="356"/>
      <c r="K17" s="330"/>
      <c r="L17" s="317"/>
      <c r="M17" s="296"/>
    </row>
    <row r="18" spans="1:17" s="315" customFormat="1" ht="14.25" customHeight="1">
      <c r="A18" s="326"/>
      <c r="B18" s="326"/>
      <c r="C18" s="325" t="s">
        <v>461</v>
      </c>
      <c r="D18" s="324"/>
      <c r="E18" s="323">
        <v>1</v>
      </c>
      <c r="F18" s="322"/>
      <c r="G18" s="321"/>
      <c r="H18" s="318"/>
      <c r="I18" s="319"/>
      <c r="J18" s="318"/>
      <c r="K18" s="330"/>
      <c r="L18" s="316"/>
    </row>
    <row r="19" spans="1:17" s="295" customFormat="1" ht="13.5" customHeight="1">
      <c r="A19" s="339">
        <v>4</v>
      </c>
      <c r="B19" s="339" t="s">
        <v>464</v>
      </c>
      <c r="C19" s="340" t="s">
        <v>463</v>
      </c>
      <c r="D19" s="339" t="s">
        <v>23</v>
      </c>
      <c r="E19" s="338">
        <f>E21</f>
        <v>1</v>
      </c>
      <c r="F19" s="337">
        <v>4000</v>
      </c>
      <c r="G19" s="337">
        <f>E19*F19</f>
        <v>4000</v>
      </c>
      <c r="H19" s="332"/>
      <c r="I19" s="356"/>
      <c r="J19" s="299"/>
      <c r="K19" s="298"/>
      <c r="L19" s="357"/>
      <c r="M19" s="296"/>
      <c r="Q19" s="335"/>
    </row>
    <row r="20" spans="1:17" s="315" customFormat="1" ht="67.5" customHeight="1">
      <c r="A20" s="326"/>
      <c r="B20" s="326"/>
      <c r="C20" s="325" t="s">
        <v>462</v>
      </c>
      <c r="D20" s="324"/>
      <c r="E20" s="323"/>
      <c r="F20" s="322"/>
      <c r="G20" s="329"/>
      <c r="H20" s="332"/>
      <c r="I20" s="318"/>
      <c r="J20" s="356"/>
      <c r="K20" s="330"/>
      <c r="L20" s="317"/>
      <c r="M20" s="296"/>
    </row>
    <row r="21" spans="1:17" s="315" customFormat="1" ht="14.25" customHeight="1">
      <c r="A21" s="326"/>
      <c r="B21" s="326"/>
      <c r="C21" s="325" t="s">
        <v>461</v>
      </c>
      <c r="D21" s="324"/>
      <c r="E21" s="323">
        <v>1</v>
      </c>
      <c r="F21" s="322"/>
      <c r="G21" s="321"/>
      <c r="H21" s="318"/>
      <c r="I21" s="319"/>
      <c r="J21" s="318"/>
      <c r="K21" s="330"/>
      <c r="L21" s="316"/>
    </row>
    <row r="22" spans="1:17" s="309" customFormat="1" ht="18.75" customHeight="1">
      <c r="A22" s="347"/>
      <c r="B22" s="349"/>
      <c r="C22" s="348" t="s">
        <v>460</v>
      </c>
      <c r="D22" s="347"/>
      <c r="E22" s="347"/>
      <c r="F22" s="347"/>
      <c r="G22" s="346">
        <f>SUM(G23:G39)</f>
        <v>1507069.85</v>
      </c>
      <c r="I22" s="344"/>
      <c r="K22" s="344"/>
    </row>
    <row r="23" spans="1:17" s="295" customFormat="1" ht="27" customHeight="1">
      <c r="A23" s="339">
        <v>5</v>
      </c>
      <c r="B23" s="339" t="s">
        <v>459</v>
      </c>
      <c r="C23" s="340" t="s">
        <v>458</v>
      </c>
      <c r="D23" s="339" t="s">
        <v>23</v>
      </c>
      <c r="E23" s="338">
        <f>SUM(E27:E27)</f>
        <v>1</v>
      </c>
      <c r="F23" s="337">
        <v>20000</v>
      </c>
      <c r="G23" s="337">
        <f>E23*F23</f>
        <v>20000</v>
      </c>
      <c r="H23" s="351"/>
      <c r="I23" s="300"/>
      <c r="J23" s="299"/>
      <c r="K23" s="298"/>
      <c r="L23" s="297"/>
      <c r="M23" s="296"/>
      <c r="Q23" s="335"/>
    </row>
    <row r="24" spans="1:17" s="315" customFormat="1" ht="67.5" customHeight="1">
      <c r="A24" s="326"/>
      <c r="B24" s="326"/>
      <c r="C24" s="325" t="s">
        <v>457</v>
      </c>
      <c r="D24" s="324"/>
      <c r="E24" s="323"/>
      <c r="F24" s="322"/>
      <c r="G24" s="321"/>
      <c r="H24" s="351"/>
      <c r="I24" s="318"/>
      <c r="J24" s="319"/>
      <c r="K24" s="330"/>
      <c r="L24" s="317"/>
      <c r="M24" s="316"/>
    </row>
    <row r="25" spans="1:17" s="315" customFormat="1" ht="13.5" customHeight="1">
      <c r="A25" s="326"/>
      <c r="B25" s="326"/>
      <c r="C25" s="325" t="s">
        <v>456</v>
      </c>
      <c r="D25" s="324"/>
      <c r="E25" s="323"/>
      <c r="F25" s="322"/>
      <c r="G25" s="321"/>
      <c r="H25" s="355"/>
      <c r="I25" s="355"/>
      <c r="J25" s="319"/>
      <c r="K25" s="330"/>
      <c r="L25" s="317"/>
      <c r="M25" s="316"/>
    </row>
    <row r="26" spans="1:17" s="315" customFormat="1" ht="94.5" customHeight="1">
      <c r="A26" s="326"/>
      <c r="B26" s="326"/>
      <c r="C26" s="325" t="s">
        <v>455</v>
      </c>
      <c r="D26" s="324"/>
      <c r="E26" s="323"/>
      <c r="F26" s="322"/>
      <c r="G26" s="321"/>
      <c r="H26" s="332"/>
      <c r="I26" s="319"/>
      <c r="J26" s="331"/>
      <c r="K26" s="330"/>
      <c r="L26" s="316"/>
    </row>
    <row r="27" spans="1:17" s="315" customFormat="1" ht="14.25" customHeight="1">
      <c r="A27" s="326"/>
      <c r="B27" s="326"/>
      <c r="C27" s="325" t="s">
        <v>454</v>
      </c>
      <c r="D27" s="324"/>
      <c r="E27" s="323">
        <v>1</v>
      </c>
      <c r="F27" s="322"/>
      <c r="G27" s="321"/>
      <c r="H27" s="332"/>
      <c r="I27" s="354"/>
      <c r="J27" s="318"/>
      <c r="K27" s="330"/>
      <c r="L27" s="316"/>
      <c r="P27" s="353"/>
    </row>
    <row r="28" spans="1:17" s="295" customFormat="1" ht="27" customHeight="1">
      <c r="A28" s="339">
        <v>6</v>
      </c>
      <c r="B28" s="339" t="s">
        <v>453</v>
      </c>
      <c r="C28" s="340" t="s">
        <v>452</v>
      </c>
      <c r="D28" s="339" t="s">
        <v>48</v>
      </c>
      <c r="E28" s="338">
        <f>SUM(E32:E32)</f>
        <v>500.64</v>
      </c>
      <c r="F28" s="337">
        <v>2500</v>
      </c>
      <c r="G28" s="337">
        <f>E28*F28</f>
        <v>1251600</v>
      </c>
      <c r="H28" s="351"/>
      <c r="I28" s="300"/>
      <c r="J28" s="299"/>
      <c r="K28" s="298"/>
      <c r="L28" s="297"/>
      <c r="M28" s="296"/>
      <c r="Q28" s="335"/>
    </row>
    <row r="29" spans="1:17" s="315" customFormat="1" ht="40.5" customHeight="1">
      <c r="A29" s="326"/>
      <c r="B29" s="326"/>
      <c r="C29" s="325" t="s">
        <v>451</v>
      </c>
      <c r="D29" s="324"/>
      <c r="E29" s="323"/>
      <c r="F29" s="322"/>
      <c r="G29" s="321"/>
      <c r="H29" s="351"/>
      <c r="I29" s="318"/>
      <c r="J29" s="319"/>
      <c r="K29" s="330"/>
      <c r="L29" s="317"/>
      <c r="M29" s="316"/>
    </row>
    <row r="30" spans="1:17" s="315" customFormat="1" ht="40.5" customHeight="1">
      <c r="A30" s="326"/>
      <c r="B30" s="326"/>
      <c r="C30" s="325" t="s">
        <v>450</v>
      </c>
      <c r="D30" s="324"/>
      <c r="E30" s="323"/>
      <c r="F30" s="322"/>
      <c r="G30" s="321"/>
      <c r="H30" s="336"/>
      <c r="I30" s="355"/>
      <c r="J30" s="319"/>
      <c r="K30" s="330"/>
      <c r="L30" s="317"/>
      <c r="M30" s="316"/>
    </row>
    <row r="31" spans="1:17" s="315" customFormat="1" ht="81" customHeight="1">
      <c r="A31" s="326"/>
      <c r="B31" s="326"/>
      <c r="C31" s="325" t="s">
        <v>399</v>
      </c>
      <c r="D31" s="324"/>
      <c r="E31" s="323"/>
      <c r="F31" s="322"/>
      <c r="G31" s="329"/>
      <c r="H31" s="328"/>
      <c r="I31" s="318"/>
      <c r="J31" s="317"/>
      <c r="K31" s="327"/>
      <c r="M31" s="316"/>
    </row>
    <row r="32" spans="1:17" s="315" customFormat="1" ht="14.25" customHeight="1">
      <c r="A32" s="326"/>
      <c r="B32" s="326"/>
      <c r="C32" s="325" t="s">
        <v>449</v>
      </c>
      <c r="D32" s="324"/>
      <c r="E32" s="323">
        <f>220.48+280.16</f>
        <v>500.64</v>
      </c>
      <c r="F32" s="322"/>
      <c r="G32" s="321"/>
      <c r="H32" s="332"/>
      <c r="I32" s="354"/>
      <c r="J32" s="318"/>
      <c r="K32" s="330"/>
      <c r="L32" s="316"/>
      <c r="P32" s="353"/>
    </row>
    <row r="33" spans="1:17" s="295" customFormat="1" ht="13.5" customHeight="1">
      <c r="A33" s="339">
        <v>7</v>
      </c>
      <c r="B33" s="339" t="s">
        <v>448</v>
      </c>
      <c r="C33" s="340" t="s">
        <v>447</v>
      </c>
      <c r="D33" s="339" t="s">
        <v>48</v>
      </c>
      <c r="E33" s="338">
        <f>SUM(E35:E35)</f>
        <v>541.30999999999995</v>
      </c>
      <c r="F33" s="337">
        <v>135</v>
      </c>
      <c r="G33" s="337">
        <f>E33*F33</f>
        <v>73076.849999999991</v>
      </c>
      <c r="H33" s="332"/>
      <c r="I33" s="300"/>
      <c r="J33" s="299"/>
      <c r="K33" s="298"/>
      <c r="L33" s="297"/>
      <c r="M33" s="296"/>
      <c r="Q33" s="335"/>
    </row>
    <row r="34" spans="1:17" s="315" customFormat="1" ht="27" customHeight="1">
      <c r="A34" s="326"/>
      <c r="B34" s="326"/>
      <c r="C34" s="325" t="s">
        <v>446</v>
      </c>
      <c r="D34" s="324"/>
      <c r="E34" s="323"/>
      <c r="F34" s="322"/>
      <c r="G34" s="321"/>
      <c r="H34" s="355"/>
      <c r="I34" s="318"/>
      <c r="J34" s="319"/>
      <c r="K34" s="330"/>
      <c r="L34" s="317"/>
      <c r="M34" s="316"/>
    </row>
    <row r="35" spans="1:17" s="315" customFormat="1" ht="14.25" customHeight="1">
      <c r="A35" s="326"/>
      <c r="B35" s="326"/>
      <c r="C35" s="325" t="s">
        <v>445</v>
      </c>
      <c r="D35" s="324"/>
      <c r="E35" s="323">
        <v>541.30999999999995</v>
      </c>
      <c r="F35" s="322"/>
      <c r="G35" s="321"/>
      <c r="H35" s="332"/>
      <c r="I35" s="354"/>
      <c r="J35" s="318"/>
      <c r="K35" s="330"/>
      <c r="L35" s="316"/>
      <c r="P35" s="353"/>
    </row>
    <row r="36" spans="1:17" s="295" customFormat="1" ht="13.5" customHeight="1">
      <c r="A36" s="339">
        <v>8</v>
      </c>
      <c r="B36" s="339" t="s">
        <v>444</v>
      </c>
      <c r="C36" s="340" t="s">
        <v>443</v>
      </c>
      <c r="D36" s="339" t="s">
        <v>48</v>
      </c>
      <c r="E36" s="338">
        <f>SUM(E39:E39)</f>
        <v>541.30999999999995</v>
      </c>
      <c r="F36" s="337">
        <v>300</v>
      </c>
      <c r="G36" s="337">
        <f>E36*F36</f>
        <v>162392.99999999997</v>
      </c>
      <c r="H36" s="332"/>
      <c r="I36" s="300"/>
      <c r="J36" s="299"/>
      <c r="K36" s="298"/>
      <c r="L36" s="297"/>
      <c r="M36" s="296"/>
      <c r="Q36" s="335"/>
    </row>
    <row r="37" spans="1:17" s="315" customFormat="1" ht="81" customHeight="1">
      <c r="A37" s="326"/>
      <c r="B37" s="326"/>
      <c r="C37" s="325" t="s">
        <v>442</v>
      </c>
      <c r="D37" s="324"/>
      <c r="E37" s="323"/>
      <c r="F37" s="322"/>
      <c r="G37" s="329"/>
      <c r="H37" s="328"/>
      <c r="I37" s="318"/>
      <c r="J37" s="317"/>
      <c r="K37" s="327"/>
      <c r="M37" s="316"/>
    </row>
    <row r="38" spans="1:17" s="315" customFormat="1" ht="81" customHeight="1">
      <c r="A38" s="326"/>
      <c r="B38" s="326"/>
      <c r="C38" s="325" t="s">
        <v>398</v>
      </c>
      <c r="D38" s="324"/>
      <c r="E38" s="323"/>
      <c r="F38" s="322"/>
      <c r="G38" s="329"/>
      <c r="H38" s="328"/>
      <c r="I38" s="318"/>
      <c r="J38" s="317"/>
      <c r="K38" s="327"/>
      <c r="M38" s="316"/>
    </row>
    <row r="39" spans="1:17" s="315" customFormat="1" ht="14.25" customHeight="1">
      <c r="A39" s="326"/>
      <c r="B39" s="326"/>
      <c r="C39" s="325" t="s">
        <v>441</v>
      </c>
      <c r="D39" s="324"/>
      <c r="E39" s="323">
        <v>541.30999999999995</v>
      </c>
      <c r="F39" s="322"/>
      <c r="G39" s="321"/>
      <c r="H39" s="332"/>
      <c r="I39" s="354"/>
      <c r="J39" s="318"/>
      <c r="K39" s="330"/>
      <c r="L39" s="316"/>
      <c r="P39" s="353"/>
    </row>
    <row r="40" spans="1:17" s="309" customFormat="1" ht="18.75" customHeight="1">
      <c r="A40" s="347"/>
      <c r="B40" s="349"/>
      <c r="C40" s="348" t="s">
        <v>440</v>
      </c>
      <c r="D40" s="347"/>
      <c r="E40" s="347"/>
      <c r="F40" s="347"/>
      <c r="G40" s="346">
        <f>SUM(G41:G52)</f>
        <v>1872990</v>
      </c>
      <c r="I40" s="344"/>
      <c r="K40" s="343"/>
    </row>
    <row r="41" spans="1:17" s="295" customFormat="1" ht="13.5" customHeight="1">
      <c r="A41" s="339">
        <v>9</v>
      </c>
      <c r="B41" s="339" t="s">
        <v>439</v>
      </c>
      <c r="C41" s="340" t="s">
        <v>438</v>
      </c>
      <c r="D41" s="339" t="s">
        <v>46</v>
      </c>
      <c r="E41" s="338">
        <f>E44</f>
        <v>291.45</v>
      </c>
      <c r="F41" s="337">
        <v>6200</v>
      </c>
      <c r="G41" s="337">
        <f>E41*F41</f>
        <v>1806990</v>
      </c>
      <c r="H41" s="332"/>
      <c r="I41" s="352"/>
      <c r="J41" s="299"/>
      <c r="K41" s="298"/>
      <c r="L41" s="297"/>
      <c r="M41" s="296"/>
      <c r="Q41" s="335"/>
    </row>
    <row r="42" spans="1:17" s="315" customFormat="1" ht="54" customHeight="1">
      <c r="A42" s="326"/>
      <c r="B42" s="326"/>
      <c r="C42" s="325" t="s">
        <v>431</v>
      </c>
      <c r="D42" s="324"/>
      <c r="E42" s="323"/>
      <c r="F42" s="322"/>
      <c r="G42" s="321"/>
      <c r="H42" s="351"/>
      <c r="I42" s="318"/>
      <c r="J42" s="319"/>
      <c r="K42" s="330"/>
      <c r="L42" s="317"/>
      <c r="M42" s="316"/>
    </row>
    <row r="43" spans="1:17" s="315" customFormat="1" ht="81" customHeight="1">
      <c r="A43" s="326"/>
      <c r="B43" s="326"/>
      <c r="C43" s="325" t="s">
        <v>398</v>
      </c>
      <c r="D43" s="324"/>
      <c r="E43" s="323"/>
      <c r="F43" s="322"/>
      <c r="G43" s="329"/>
      <c r="H43" s="328"/>
      <c r="I43" s="318"/>
      <c r="J43" s="317"/>
      <c r="K43" s="327"/>
      <c r="M43" s="316"/>
    </row>
    <row r="44" spans="1:17" s="315" customFormat="1" ht="14.25" customHeight="1">
      <c r="A44" s="326"/>
      <c r="B44" s="326"/>
      <c r="C44" s="325" t="s">
        <v>437</v>
      </c>
      <c r="D44" s="324"/>
      <c r="E44" s="323">
        <v>291.45</v>
      </c>
      <c r="F44" s="322"/>
      <c r="G44" s="321"/>
      <c r="H44" s="318"/>
      <c r="I44" s="319"/>
      <c r="J44" s="318"/>
      <c r="K44" s="330"/>
      <c r="L44" s="316"/>
    </row>
    <row r="45" spans="1:17" s="295" customFormat="1" ht="13.5" customHeight="1">
      <c r="A45" s="339">
        <v>10</v>
      </c>
      <c r="B45" s="339" t="s">
        <v>434</v>
      </c>
      <c r="C45" s="340" t="s">
        <v>436</v>
      </c>
      <c r="D45" s="339" t="s">
        <v>432</v>
      </c>
      <c r="E45" s="338">
        <f>E48</f>
        <v>1</v>
      </c>
      <c r="F45" s="337">
        <v>24500</v>
      </c>
      <c r="G45" s="337">
        <f>E45*F45</f>
        <v>24500</v>
      </c>
      <c r="H45" s="332"/>
      <c r="I45" s="352"/>
      <c r="J45" s="299"/>
      <c r="K45" s="298"/>
      <c r="L45" s="297"/>
      <c r="M45" s="296"/>
      <c r="Q45" s="335"/>
    </row>
    <row r="46" spans="1:17" s="315" customFormat="1" ht="54" customHeight="1">
      <c r="A46" s="326"/>
      <c r="B46" s="326"/>
      <c r="C46" s="325" t="s">
        <v>431</v>
      </c>
      <c r="D46" s="324"/>
      <c r="E46" s="323"/>
      <c r="F46" s="322"/>
      <c r="G46" s="321"/>
      <c r="H46" s="351"/>
      <c r="I46" s="318"/>
      <c r="J46" s="319"/>
      <c r="K46" s="330"/>
      <c r="L46" s="317"/>
      <c r="M46" s="316"/>
    </row>
    <row r="47" spans="1:17" s="315" customFormat="1" ht="81" customHeight="1">
      <c r="A47" s="326"/>
      <c r="B47" s="326"/>
      <c r="C47" s="325" t="s">
        <v>435</v>
      </c>
      <c r="D47" s="324"/>
      <c r="E47" s="323"/>
      <c r="F47" s="322"/>
      <c r="G47" s="329"/>
      <c r="H47" s="328"/>
      <c r="I47" s="318"/>
      <c r="J47" s="317"/>
      <c r="K47" s="327"/>
      <c r="M47" s="316"/>
    </row>
    <row r="48" spans="1:17" s="315" customFormat="1" ht="14.25" customHeight="1">
      <c r="A48" s="326"/>
      <c r="B48" s="326"/>
      <c r="C48" s="325" t="s">
        <v>430</v>
      </c>
      <c r="D48" s="324"/>
      <c r="E48" s="323">
        <v>1</v>
      </c>
      <c r="F48" s="322"/>
      <c r="G48" s="321"/>
      <c r="H48" s="318"/>
      <c r="I48" s="319"/>
      <c r="J48" s="318"/>
      <c r="K48" s="330"/>
      <c r="L48" s="316"/>
    </row>
    <row r="49" spans="1:17" s="295" customFormat="1" ht="13.5" customHeight="1">
      <c r="A49" s="339">
        <v>11</v>
      </c>
      <c r="B49" s="339" t="s">
        <v>434</v>
      </c>
      <c r="C49" s="340" t="s">
        <v>433</v>
      </c>
      <c r="D49" s="339" t="s">
        <v>432</v>
      </c>
      <c r="E49" s="338">
        <f>E52</f>
        <v>1</v>
      </c>
      <c r="F49" s="337">
        <v>41500</v>
      </c>
      <c r="G49" s="337">
        <f>E49*F49</f>
        <v>41500</v>
      </c>
      <c r="H49" s="332"/>
      <c r="I49" s="352"/>
      <c r="J49" s="299"/>
      <c r="K49" s="298"/>
      <c r="L49" s="297"/>
      <c r="M49" s="296"/>
      <c r="Q49" s="335"/>
    </row>
    <row r="50" spans="1:17" s="315" customFormat="1" ht="54" customHeight="1">
      <c r="A50" s="326"/>
      <c r="B50" s="326"/>
      <c r="C50" s="325" t="s">
        <v>431</v>
      </c>
      <c r="D50" s="324"/>
      <c r="E50" s="323"/>
      <c r="F50" s="322"/>
      <c r="G50" s="321"/>
      <c r="H50" s="351"/>
      <c r="I50" s="318"/>
      <c r="J50" s="319"/>
      <c r="K50" s="330"/>
      <c r="L50" s="317"/>
      <c r="M50" s="316"/>
    </row>
    <row r="51" spans="1:17" s="315" customFormat="1" ht="81" customHeight="1">
      <c r="A51" s="326"/>
      <c r="B51" s="326"/>
      <c r="C51" s="325" t="s">
        <v>398</v>
      </c>
      <c r="D51" s="324"/>
      <c r="E51" s="323"/>
      <c r="F51" s="322"/>
      <c r="G51" s="329"/>
      <c r="H51" s="328"/>
      <c r="I51" s="318"/>
      <c r="J51" s="317"/>
      <c r="K51" s="327"/>
      <c r="M51" s="316"/>
    </row>
    <row r="52" spans="1:17" s="315" customFormat="1" ht="14.25" customHeight="1">
      <c r="A52" s="326"/>
      <c r="B52" s="326"/>
      <c r="C52" s="325" t="s">
        <v>430</v>
      </c>
      <c r="D52" s="324"/>
      <c r="E52" s="323">
        <v>1</v>
      </c>
      <c r="F52" s="322"/>
      <c r="G52" s="321"/>
      <c r="H52" s="318"/>
      <c r="I52" s="319"/>
      <c r="J52" s="318"/>
      <c r="K52" s="330"/>
      <c r="L52" s="316"/>
    </row>
    <row r="53" spans="1:17" s="309" customFormat="1" ht="18.75" customHeight="1">
      <c r="A53" s="347"/>
      <c r="B53" s="349"/>
      <c r="C53" s="348" t="s">
        <v>428</v>
      </c>
      <c r="D53" s="347"/>
      <c r="E53" s="347"/>
      <c r="F53" s="347"/>
      <c r="G53" s="346">
        <f>SUM(G54:G56)</f>
        <v>1560000</v>
      </c>
      <c r="I53" s="344"/>
      <c r="K53" s="343"/>
    </row>
    <row r="54" spans="1:17" s="295" customFormat="1" ht="13.5" customHeight="1">
      <c r="A54" s="339">
        <v>12</v>
      </c>
      <c r="B54" s="339" t="s">
        <v>429</v>
      </c>
      <c r="C54" s="340" t="s">
        <v>428</v>
      </c>
      <c r="D54" s="339" t="s">
        <v>410</v>
      </c>
      <c r="E54" s="338">
        <f>SUM(E56:E56)</f>
        <v>1</v>
      </c>
      <c r="F54" s="337">
        <v>1560000</v>
      </c>
      <c r="G54" s="337">
        <f>E54*F54</f>
        <v>1560000</v>
      </c>
      <c r="H54" s="332"/>
      <c r="J54" s="299"/>
      <c r="K54" s="298"/>
      <c r="L54" s="297"/>
      <c r="M54" s="296"/>
      <c r="Q54" s="335"/>
    </row>
    <row r="55" spans="1:17" s="315" customFormat="1" ht="40.5" customHeight="1">
      <c r="A55" s="326"/>
      <c r="B55" s="326"/>
      <c r="C55" s="325" t="s">
        <v>427</v>
      </c>
      <c r="D55" s="324"/>
      <c r="E55" s="323"/>
      <c r="F55" s="322"/>
      <c r="G55" s="321"/>
      <c r="H55" s="332"/>
      <c r="I55" s="318"/>
      <c r="J55" s="319"/>
      <c r="K55" s="330"/>
      <c r="L55" s="317"/>
      <c r="M55" s="316"/>
    </row>
    <row r="56" spans="1:17" s="315" customFormat="1" ht="14.25" customHeight="1">
      <c r="A56" s="326"/>
      <c r="B56" s="326"/>
      <c r="C56" s="325" t="s">
        <v>426</v>
      </c>
      <c r="D56" s="324"/>
      <c r="E56" s="323">
        <v>1</v>
      </c>
      <c r="F56" s="322"/>
      <c r="G56" s="321"/>
      <c r="H56" s="318"/>
      <c r="I56" s="319"/>
      <c r="J56" s="318"/>
      <c r="K56" s="330"/>
      <c r="L56" s="316"/>
    </row>
    <row r="57" spans="1:17" s="309" customFormat="1" ht="18.75" customHeight="1">
      <c r="A57" s="347"/>
      <c r="B57" s="349"/>
      <c r="C57" s="348" t="s">
        <v>425</v>
      </c>
      <c r="D57" s="347"/>
      <c r="E57" s="347"/>
      <c r="F57" s="347"/>
      <c r="G57" s="346">
        <f>SUM(G58:G65)</f>
        <v>2126982.5999999996</v>
      </c>
      <c r="I57" s="344"/>
      <c r="K57" s="343"/>
    </row>
    <row r="58" spans="1:17" s="295" customFormat="1" ht="13.5" customHeight="1">
      <c r="A58" s="339">
        <v>13</v>
      </c>
      <c r="B58" s="339" t="s">
        <v>424</v>
      </c>
      <c r="C58" s="340" t="s">
        <v>423</v>
      </c>
      <c r="D58" s="339" t="s">
        <v>48</v>
      </c>
      <c r="E58" s="338">
        <f>SUM(E61:E61)</f>
        <v>206.97</v>
      </c>
      <c r="F58" s="337">
        <v>2500</v>
      </c>
      <c r="G58" s="337">
        <f>E58*F58</f>
        <v>517425</v>
      </c>
      <c r="H58" s="332"/>
      <c r="J58" s="299"/>
      <c r="K58" s="298"/>
      <c r="L58" s="297"/>
      <c r="M58" s="296"/>
      <c r="Q58" s="335"/>
    </row>
    <row r="59" spans="1:17" s="315" customFormat="1" ht="81" customHeight="1">
      <c r="A59" s="326"/>
      <c r="B59" s="326"/>
      <c r="C59" s="325" t="s">
        <v>422</v>
      </c>
      <c r="D59" s="324"/>
      <c r="E59" s="323"/>
      <c r="F59" s="322"/>
      <c r="G59" s="329"/>
      <c r="H59" s="328"/>
      <c r="I59" s="318"/>
      <c r="J59" s="317"/>
      <c r="K59" s="327"/>
      <c r="M59" s="316"/>
    </row>
    <row r="60" spans="1:17" s="315" customFormat="1" ht="81" customHeight="1">
      <c r="A60" s="326"/>
      <c r="B60" s="326"/>
      <c r="C60" s="325" t="s">
        <v>398</v>
      </c>
      <c r="D60" s="324"/>
      <c r="E60" s="323"/>
      <c r="F60" s="322"/>
      <c r="G60" s="329"/>
      <c r="H60" s="328"/>
      <c r="I60" s="318"/>
      <c r="J60" s="317"/>
      <c r="K60" s="327"/>
      <c r="M60" s="316"/>
    </row>
    <row r="61" spans="1:17" s="315" customFormat="1" ht="14.25" customHeight="1">
      <c r="A61" s="326"/>
      <c r="B61" s="326"/>
      <c r="C61" s="325" t="s">
        <v>421</v>
      </c>
      <c r="D61" s="324"/>
      <c r="E61" s="323">
        <f>83.53+123.44</f>
        <v>206.97</v>
      </c>
      <c r="F61" s="322"/>
      <c r="G61" s="321"/>
      <c r="H61" s="318"/>
      <c r="I61" s="319"/>
      <c r="J61" s="318"/>
      <c r="K61" s="330"/>
      <c r="L61" s="316"/>
    </row>
    <row r="62" spans="1:17" s="295" customFormat="1" ht="13.5" customHeight="1">
      <c r="A62" s="339">
        <v>14</v>
      </c>
      <c r="B62" s="339" t="s">
        <v>420</v>
      </c>
      <c r="C62" s="340" t="s">
        <v>419</v>
      </c>
      <c r="D62" s="339" t="s">
        <v>48</v>
      </c>
      <c r="E62" s="338">
        <f>SUM(E65:E65)</f>
        <v>500.64</v>
      </c>
      <c r="F62" s="337">
        <v>3215</v>
      </c>
      <c r="G62" s="337">
        <f>E62*F62</f>
        <v>1609557.5999999999</v>
      </c>
      <c r="H62" s="332"/>
      <c r="J62" s="299"/>
      <c r="K62" s="298"/>
      <c r="L62" s="297"/>
      <c r="M62" s="296"/>
      <c r="Q62" s="335"/>
    </row>
    <row r="63" spans="1:17" s="315" customFormat="1" ht="81" customHeight="1">
      <c r="A63" s="326"/>
      <c r="B63" s="326"/>
      <c r="C63" s="325" t="s">
        <v>418</v>
      </c>
      <c r="D63" s="324"/>
      <c r="E63" s="323"/>
      <c r="F63" s="322"/>
      <c r="G63" s="329"/>
      <c r="H63" s="328"/>
      <c r="I63" s="318"/>
      <c r="J63" s="317"/>
      <c r="K63" s="327"/>
      <c r="M63" s="316"/>
    </row>
    <row r="64" spans="1:17" s="315" customFormat="1" ht="81" customHeight="1">
      <c r="A64" s="326"/>
      <c r="B64" s="326"/>
      <c r="C64" s="325" t="s">
        <v>398</v>
      </c>
      <c r="D64" s="324"/>
      <c r="E64" s="323"/>
      <c r="F64" s="322"/>
      <c r="G64" s="329"/>
      <c r="H64" s="328"/>
      <c r="I64" s="318"/>
      <c r="J64" s="317"/>
      <c r="K64" s="327"/>
      <c r="M64" s="316"/>
    </row>
    <row r="65" spans="1:17" s="315" customFormat="1" ht="14.25" customHeight="1">
      <c r="A65" s="326"/>
      <c r="B65" s="326"/>
      <c r="C65" s="325" t="s">
        <v>81</v>
      </c>
      <c r="D65" s="324"/>
      <c r="E65" s="323">
        <f>220.48+280.16</f>
        <v>500.64</v>
      </c>
      <c r="F65" s="322"/>
      <c r="G65" s="321"/>
      <c r="H65" s="350"/>
      <c r="I65" s="319"/>
      <c r="J65" s="318"/>
      <c r="K65" s="330"/>
      <c r="L65" s="316"/>
    </row>
    <row r="66" spans="1:17" s="309" customFormat="1" ht="18.75" customHeight="1">
      <c r="A66" s="347"/>
      <c r="B66" s="349"/>
      <c r="C66" s="348" t="s">
        <v>417</v>
      </c>
      <c r="D66" s="347"/>
      <c r="E66" s="347"/>
      <c r="F66" s="347"/>
      <c r="G66" s="346">
        <f>SUM(G67:G85)</f>
        <v>904000</v>
      </c>
      <c r="H66" s="345"/>
      <c r="I66" s="344"/>
      <c r="K66" s="343"/>
    </row>
    <row r="67" spans="1:17" s="295" customFormat="1" ht="13.5" customHeight="1">
      <c r="A67" s="339">
        <v>15</v>
      </c>
      <c r="B67" s="339" t="s">
        <v>416</v>
      </c>
      <c r="C67" s="340" t="s">
        <v>415</v>
      </c>
      <c r="D67" s="339" t="s">
        <v>410</v>
      </c>
      <c r="E67" s="338">
        <f>E71</f>
        <v>1</v>
      </c>
      <c r="F67" s="337">
        <v>525000</v>
      </c>
      <c r="G67" s="337">
        <f>E67*F67</f>
        <v>525000</v>
      </c>
      <c r="H67" s="334"/>
      <c r="I67" s="300"/>
      <c r="J67" s="299"/>
      <c r="K67" s="300"/>
      <c r="L67" s="297"/>
      <c r="M67" s="296"/>
      <c r="Q67" s="335"/>
    </row>
    <row r="68" spans="1:17" s="315" customFormat="1" ht="81" customHeight="1">
      <c r="A68" s="326"/>
      <c r="B68" s="326"/>
      <c r="C68" s="325" t="s">
        <v>414</v>
      </c>
      <c r="D68" s="324"/>
      <c r="E68" s="323"/>
      <c r="F68" s="322"/>
      <c r="G68" s="329"/>
      <c r="H68" s="328"/>
      <c r="I68" s="318"/>
      <c r="J68" s="317"/>
      <c r="K68" s="327"/>
      <c r="M68" s="316"/>
    </row>
    <row r="69" spans="1:17" s="315" customFormat="1" ht="81" customHeight="1">
      <c r="A69" s="326"/>
      <c r="B69" s="326"/>
      <c r="C69" s="325" t="s">
        <v>399</v>
      </c>
      <c r="D69" s="324"/>
      <c r="E69" s="323"/>
      <c r="F69" s="322"/>
      <c r="G69" s="329"/>
      <c r="H69" s="328"/>
      <c r="I69" s="318"/>
      <c r="J69" s="317"/>
      <c r="K69" s="327"/>
      <c r="M69" s="316"/>
    </row>
    <row r="70" spans="1:17" s="315" customFormat="1" ht="81" customHeight="1">
      <c r="A70" s="326"/>
      <c r="B70" s="326"/>
      <c r="C70" s="325" t="s">
        <v>398</v>
      </c>
      <c r="D70" s="324"/>
      <c r="E70" s="323"/>
      <c r="F70" s="322"/>
      <c r="G70" s="329"/>
      <c r="H70" s="328"/>
      <c r="I70" s="318"/>
      <c r="J70" s="317"/>
      <c r="K70" s="327"/>
      <c r="M70" s="316"/>
    </row>
    <row r="71" spans="1:17" s="315" customFormat="1" ht="14.25" customHeight="1">
      <c r="A71" s="326"/>
      <c r="B71" s="326"/>
      <c r="C71" s="325" t="s">
        <v>413</v>
      </c>
      <c r="D71" s="324"/>
      <c r="E71" s="323">
        <v>1</v>
      </c>
      <c r="F71" s="322"/>
      <c r="G71" s="321"/>
      <c r="H71" s="320"/>
      <c r="I71" s="319"/>
      <c r="J71" s="318"/>
      <c r="K71" s="317"/>
      <c r="L71" s="316"/>
    </row>
    <row r="72" spans="1:17" s="295" customFormat="1" ht="13.5" customHeight="1">
      <c r="A72" s="339">
        <v>16</v>
      </c>
      <c r="B72" s="339" t="s">
        <v>412</v>
      </c>
      <c r="C72" s="340" t="s">
        <v>411</v>
      </c>
      <c r="D72" s="339" t="s">
        <v>410</v>
      </c>
      <c r="E72" s="338">
        <f>E76</f>
        <v>1</v>
      </c>
      <c r="F72" s="337">
        <v>285000</v>
      </c>
      <c r="G72" s="337">
        <f>E72*F72</f>
        <v>285000</v>
      </c>
      <c r="H72" s="334"/>
      <c r="I72" s="300"/>
      <c r="J72" s="299"/>
      <c r="K72" s="300"/>
      <c r="L72" s="297"/>
      <c r="M72" s="296"/>
      <c r="Q72" s="335"/>
    </row>
    <row r="73" spans="1:17" s="315" customFormat="1" ht="81" customHeight="1">
      <c r="A73" s="326"/>
      <c r="B73" s="326"/>
      <c r="C73" s="325" t="s">
        <v>409</v>
      </c>
      <c r="D73" s="324"/>
      <c r="E73" s="323"/>
      <c r="F73" s="322"/>
      <c r="G73" s="329"/>
      <c r="H73" s="328"/>
      <c r="I73" s="318"/>
      <c r="J73" s="317"/>
      <c r="K73" s="327"/>
      <c r="M73" s="316"/>
    </row>
    <row r="74" spans="1:17" s="315" customFormat="1" ht="81" customHeight="1">
      <c r="A74" s="326"/>
      <c r="B74" s="326"/>
      <c r="C74" s="325" t="s">
        <v>399</v>
      </c>
      <c r="D74" s="324"/>
      <c r="E74" s="323"/>
      <c r="F74" s="322"/>
      <c r="G74" s="329"/>
      <c r="H74" s="328"/>
      <c r="I74" s="318"/>
      <c r="J74" s="317"/>
      <c r="K74" s="327"/>
      <c r="M74" s="316"/>
    </row>
    <row r="75" spans="1:17" s="315" customFormat="1" ht="81" customHeight="1">
      <c r="A75" s="326"/>
      <c r="B75" s="326"/>
      <c r="C75" s="325" t="s">
        <v>408</v>
      </c>
      <c r="D75" s="324"/>
      <c r="E75" s="323"/>
      <c r="F75" s="322"/>
      <c r="G75" s="329"/>
      <c r="H75" s="328"/>
      <c r="I75" s="318"/>
      <c r="J75" s="317"/>
      <c r="K75" s="327"/>
      <c r="M75" s="316"/>
    </row>
    <row r="76" spans="1:17" s="315" customFormat="1" ht="14.25" customHeight="1">
      <c r="A76" s="326"/>
      <c r="B76" s="326"/>
      <c r="C76" s="325" t="s">
        <v>407</v>
      </c>
      <c r="D76" s="324"/>
      <c r="E76" s="323">
        <v>1</v>
      </c>
      <c r="F76" s="322"/>
      <c r="G76" s="321"/>
      <c r="H76" s="342"/>
      <c r="I76" s="319"/>
      <c r="J76" s="318"/>
      <c r="K76" s="317"/>
      <c r="L76" s="316"/>
      <c r="O76" s="341"/>
    </row>
    <row r="77" spans="1:17" s="295" customFormat="1" ht="13.5" customHeight="1">
      <c r="A77" s="339">
        <v>17</v>
      </c>
      <c r="B77" s="339" t="s">
        <v>406</v>
      </c>
      <c r="C77" s="340" t="s">
        <v>405</v>
      </c>
      <c r="D77" s="339" t="s">
        <v>23</v>
      </c>
      <c r="E77" s="338">
        <f>E80</f>
        <v>1</v>
      </c>
      <c r="F77" s="337">
        <v>80000</v>
      </c>
      <c r="G77" s="337">
        <f>E77*F77</f>
        <v>80000</v>
      </c>
      <c r="H77" s="336"/>
      <c r="I77" s="300"/>
      <c r="J77" s="299"/>
      <c r="K77" s="300"/>
      <c r="L77" s="297"/>
      <c r="M77" s="296"/>
      <c r="Q77" s="335"/>
    </row>
    <row r="78" spans="1:17" s="315" customFormat="1" ht="87.75" customHeight="1">
      <c r="A78" s="326"/>
      <c r="B78" s="326"/>
      <c r="C78" s="325" t="s">
        <v>404</v>
      </c>
      <c r="D78" s="324"/>
      <c r="E78" s="323"/>
      <c r="F78" s="322"/>
      <c r="G78" s="329"/>
      <c r="H78" s="334"/>
      <c r="I78" s="318"/>
      <c r="J78" s="319"/>
      <c r="K78" s="318"/>
      <c r="L78" s="317"/>
      <c r="M78" s="316"/>
      <c r="O78" s="333"/>
    </row>
    <row r="79" spans="1:17" s="315" customFormat="1" ht="94.5" customHeight="1">
      <c r="A79" s="326"/>
      <c r="B79" s="326"/>
      <c r="C79" s="325" t="s">
        <v>398</v>
      </c>
      <c r="D79" s="324"/>
      <c r="E79" s="323"/>
      <c r="F79" s="322"/>
      <c r="G79" s="329"/>
      <c r="H79" s="328"/>
      <c r="I79" s="318"/>
      <c r="J79" s="317"/>
      <c r="K79" s="327"/>
      <c r="M79" s="316"/>
    </row>
    <row r="80" spans="1:17" s="315" customFormat="1" ht="14.25" customHeight="1">
      <c r="A80" s="326"/>
      <c r="B80" s="326"/>
      <c r="C80" s="325" t="s">
        <v>403</v>
      </c>
      <c r="D80" s="324"/>
      <c r="E80" s="323">
        <v>1</v>
      </c>
      <c r="F80" s="322"/>
      <c r="G80" s="321"/>
      <c r="H80" s="320"/>
      <c r="I80" s="319"/>
      <c r="J80" s="318"/>
      <c r="K80" s="317"/>
      <c r="L80" s="316"/>
    </row>
    <row r="81" spans="1:17" s="295" customFormat="1" ht="13.5" customHeight="1">
      <c r="A81" s="339">
        <v>18</v>
      </c>
      <c r="B81" s="339" t="s">
        <v>402</v>
      </c>
      <c r="C81" s="340" t="s">
        <v>401</v>
      </c>
      <c r="D81" s="339" t="s">
        <v>23</v>
      </c>
      <c r="E81" s="338">
        <f>E85</f>
        <v>1</v>
      </c>
      <c r="F81" s="337">
        <v>14000</v>
      </c>
      <c r="G81" s="337">
        <f>E81*F81</f>
        <v>14000</v>
      </c>
      <c r="H81" s="336"/>
      <c r="I81" s="300"/>
      <c r="J81" s="299"/>
      <c r="K81" s="300"/>
      <c r="L81" s="297"/>
      <c r="M81" s="296"/>
      <c r="Q81" s="335"/>
    </row>
    <row r="82" spans="1:17" s="315" customFormat="1" ht="81" customHeight="1">
      <c r="A82" s="326"/>
      <c r="B82" s="326"/>
      <c r="C82" s="325" t="s">
        <v>400</v>
      </c>
      <c r="D82" s="324"/>
      <c r="E82" s="323"/>
      <c r="F82" s="322"/>
      <c r="G82" s="329"/>
      <c r="H82" s="334"/>
      <c r="I82" s="318"/>
      <c r="J82" s="319"/>
      <c r="K82" s="318"/>
      <c r="L82" s="317"/>
      <c r="M82" s="316"/>
      <c r="O82" s="333"/>
    </row>
    <row r="83" spans="1:17" s="315" customFormat="1" ht="81" customHeight="1">
      <c r="A83" s="326"/>
      <c r="B83" s="326"/>
      <c r="C83" s="325" t="s">
        <v>399</v>
      </c>
      <c r="D83" s="324"/>
      <c r="E83" s="323"/>
      <c r="F83" s="322"/>
      <c r="G83" s="321"/>
      <c r="H83" s="332"/>
      <c r="I83" s="319"/>
      <c r="J83" s="331"/>
      <c r="K83" s="330"/>
      <c r="L83" s="316"/>
    </row>
    <row r="84" spans="1:17" s="315" customFormat="1" ht="81" customHeight="1">
      <c r="A84" s="326"/>
      <c r="B84" s="326"/>
      <c r="C84" s="325" t="s">
        <v>398</v>
      </c>
      <c r="D84" s="324"/>
      <c r="E84" s="323"/>
      <c r="F84" s="322"/>
      <c r="G84" s="329"/>
      <c r="H84" s="328"/>
      <c r="I84" s="318"/>
      <c r="J84" s="317"/>
      <c r="K84" s="327"/>
      <c r="M84" s="316"/>
    </row>
    <row r="85" spans="1:17" s="315" customFormat="1" ht="14.25" customHeight="1">
      <c r="A85" s="326"/>
      <c r="B85" s="326"/>
      <c r="C85" s="325" t="s">
        <v>397</v>
      </c>
      <c r="D85" s="324"/>
      <c r="E85" s="323">
        <v>1</v>
      </c>
      <c r="F85" s="322"/>
      <c r="G85" s="321"/>
      <c r="H85" s="320"/>
      <c r="I85" s="319"/>
      <c r="J85" s="318"/>
      <c r="K85" s="317"/>
      <c r="L85" s="316"/>
    </row>
    <row r="86" spans="1:17" s="295" customFormat="1" ht="15" customHeight="1">
      <c r="A86" s="302"/>
      <c r="B86" s="302"/>
      <c r="D86" s="302"/>
      <c r="E86" s="300"/>
      <c r="F86" s="301"/>
      <c r="G86" s="301"/>
      <c r="H86" s="299"/>
      <c r="I86" s="300"/>
      <c r="J86" s="299"/>
      <c r="K86" s="298"/>
      <c r="L86" s="297"/>
      <c r="M86" s="296"/>
    </row>
    <row r="87" spans="1:17" s="295" customFormat="1" ht="15" customHeight="1">
      <c r="A87" s="302"/>
      <c r="B87" s="302"/>
      <c r="D87" s="302"/>
      <c r="E87" s="300"/>
      <c r="F87" s="301"/>
      <c r="G87" s="301"/>
      <c r="H87" s="299"/>
      <c r="I87" s="300"/>
      <c r="J87" s="299"/>
      <c r="K87" s="298"/>
      <c r="L87" s="297"/>
      <c r="M87" s="296"/>
    </row>
    <row r="88" spans="1:17" s="295" customFormat="1" ht="15" customHeight="1">
      <c r="A88" s="302"/>
      <c r="B88" s="305"/>
      <c r="D88" s="314"/>
      <c r="E88" s="300"/>
      <c r="F88" s="301"/>
      <c r="G88" s="313"/>
      <c r="H88" s="299"/>
      <c r="I88" s="300"/>
      <c r="J88" s="299"/>
      <c r="K88" s="298"/>
      <c r="L88" s="297"/>
      <c r="M88" s="296"/>
    </row>
    <row r="89" spans="1:17" s="295" customFormat="1" ht="15" customHeight="1">
      <c r="A89" s="302"/>
      <c r="B89" s="305"/>
      <c r="D89" s="302"/>
      <c r="E89" s="300"/>
      <c r="F89" s="312"/>
      <c r="G89" s="301"/>
      <c r="H89" s="299"/>
      <c r="I89" s="300"/>
      <c r="J89" s="299"/>
      <c r="K89" s="298"/>
      <c r="L89" s="297"/>
      <c r="M89" s="296"/>
    </row>
    <row r="90" spans="1:17" s="295" customFormat="1" ht="15" customHeight="1">
      <c r="A90" s="302"/>
      <c r="B90" s="305"/>
      <c r="D90" s="302"/>
      <c r="E90" s="300"/>
      <c r="F90" s="312"/>
      <c r="G90" s="301"/>
      <c r="H90" s="299"/>
      <c r="I90" s="300"/>
      <c r="J90" s="299"/>
      <c r="K90" s="298"/>
      <c r="L90" s="297"/>
      <c r="M90" s="296"/>
    </row>
    <row r="91" spans="1:17" s="295" customFormat="1" ht="15" customHeight="1">
      <c r="A91" s="302"/>
      <c r="B91" s="302"/>
      <c r="D91" s="302"/>
      <c r="E91" s="300"/>
      <c r="F91" s="301"/>
      <c r="G91" s="301"/>
      <c r="H91" s="310"/>
      <c r="I91" s="300"/>
      <c r="J91" s="299"/>
      <c r="K91" s="298"/>
      <c r="L91" s="297"/>
      <c r="M91" s="296"/>
    </row>
    <row r="92" spans="1:17" s="295" customFormat="1" ht="15" customHeight="1">
      <c r="A92" s="302"/>
      <c r="B92" s="302"/>
      <c r="D92" s="302"/>
      <c r="E92" s="300"/>
      <c r="F92" s="301"/>
      <c r="G92" s="301"/>
      <c r="H92" s="311"/>
      <c r="I92" s="300"/>
      <c r="J92" s="299"/>
      <c r="K92" s="298"/>
      <c r="L92" s="297"/>
      <c r="M92" s="296"/>
    </row>
    <row r="93" spans="1:17" s="295" customFormat="1" ht="15" customHeight="1">
      <c r="A93" s="302"/>
      <c r="B93" s="305"/>
      <c r="D93" s="302"/>
      <c r="E93" s="300"/>
      <c r="F93" s="301"/>
      <c r="G93" s="301"/>
      <c r="H93" s="310"/>
      <c r="I93" s="300"/>
      <c r="J93" s="299"/>
      <c r="K93" s="298"/>
      <c r="L93" s="297"/>
      <c r="M93" s="296"/>
    </row>
    <row r="94" spans="1:17" s="295" customFormat="1" ht="15" customHeight="1">
      <c r="A94" s="302"/>
      <c r="B94" s="302"/>
      <c r="D94" s="302"/>
      <c r="E94" s="300"/>
      <c r="F94" s="301"/>
      <c r="G94" s="301"/>
      <c r="H94" s="310"/>
      <c r="I94" s="300"/>
      <c r="J94" s="299"/>
      <c r="K94" s="298"/>
      <c r="L94" s="297"/>
      <c r="M94" s="296"/>
    </row>
    <row r="95" spans="1:17" s="295" customFormat="1" ht="15" customHeight="1">
      <c r="A95" s="302"/>
      <c r="B95" s="302"/>
      <c r="D95" s="302"/>
      <c r="E95" s="300"/>
      <c r="F95" s="301"/>
      <c r="G95" s="301"/>
      <c r="H95" s="310"/>
      <c r="I95" s="300"/>
      <c r="J95" s="299"/>
      <c r="K95" s="298"/>
      <c r="L95" s="297"/>
      <c r="M95" s="296"/>
    </row>
    <row r="96" spans="1:17" s="295" customFormat="1" ht="15" customHeight="1">
      <c r="A96" s="302"/>
      <c r="B96" s="305"/>
      <c r="D96" s="302"/>
      <c r="E96" s="300"/>
      <c r="F96" s="301"/>
      <c r="G96" s="301"/>
      <c r="H96" s="311"/>
      <c r="I96" s="300"/>
      <c r="J96" s="299"/>
      <c r="K96" s="298"/>
      <c r="L96" s="297"/>
      <c r="M96" s="296"/>
    </row>
    <row r="97" spans="1:13" s="295" customFormat="1" ht="15" customHeight="1">
      <c r="A97" s="302"/>
      <c r="B97" s="305"/>
      <c r="D97" s="302"/>
      <c r="E97" s="300"/>
      <c r="F97" s="301"/>
      <c r="G97" s="301"/>
      <c r="H97" s="311"/>
      <c r="I97" s="300"/>
      <c r="J97" s="299"/>
      <c r="K97" s="298"/>
      <c r="L97" s="297"/>
      <c r="M97" s="296"/>
    </row>
    <row r="98" spans="1:13" s="295" customFormat="1" ht="15" customHeight="1">
      <c r="A98" s="302"/>
      <c r="B98" s="302"/>
      <c r="D98" s="302"/>
      <c r="E98" s="300"/>
      <c r="F98" s="301"/>
      <c r="G98" s="301"/>
      <c r="H98" s="311"/>
      <c r="I98" s="300"/>
      <c r="J98" s="299"/>
      <c r="K98" s="298"/>
      <c r="L98" s="297"/>
      <c r="M98" s="296"/>
    </row>
    <row r="99" spans="1:13" s="295" customFormat="1" ht="15" customHeight="1">
      <c r="A99" s="302"/>
      <c r="B99" s="305"/>
      <c r="D99" s="302"/>
      <c r="E99" s="300"/>
      <c r="F99" s="301"/>
      <c r="G99" s="301"/>
      <c r="H99" s="310"/>
      <c r="I99" s="300"/>
      <c r="J99" s="299"/>
      <c r="K99" s="298"/>
      <c r="L99" s="297"/>
      <c r="M99" s="296"/>
    </row>
    <row r="100" spans="1:13" s="295" customFormat="1" ht="15" customHeight="1">
      <c r="A100" s="302"/>
      <c r="B100" s="305"/>
      <c r="D100" s="307"/>
      <c r="E100" s="300"/>
      <c r="F100" s="301"/>
      <c r="G100" s="301"/>
      <c r="H100" s="311"/>
      <c r="I100" s="300"/>
      <c r="J100" s="299"/>
      <c r="K100" s="298"/>
      <c r="L100" s="297"/>
      <c r="M100" s="296"/>
    </row>
    <row r="101" spans="1:13" s="295" customFormat="1" ht="15" customHeight="1">
      <c r="A101" s="302"/>
      <c r="B101" s="305"/>
      <c r="D101" s="307"/>
      <c r="E101" s="300"/>
      <c r="F101" s="301"/>
      <c r="G101" s="301"/>
      <c r="H101" s="311"/>
      <c r="I101" s="300"/>
      <c r="J101" s="299"/>
      <c r="K101" s="298"/>
      <c r="L101" s="297"/>
      <c r="M101" s="296"/>
    </row>
    <row r="102" spans="1:13" s="295" customFormat="1" ht="15" customHeight="1">
      <c r="A102" s="302"/>
      <c r="B102" s="305"/>
      <c r="D102" s="307"/>
      <c r="E102" s="300"/>
      <c r="F102" s="301"/>
      <c r="G102" s="301"/>
      <c r="H102" s="310"/>
      <c r="I102" s="300"/>
      <c r="J102" s="299"/>
      <c r="K102" s="298"/>
      <c r="L102" s="297"/>
      <c r="M102" s="296"/>
    </row>
    <row r="103" spans="1:13" s="295" customFormat="1">
      <c r="A103" s="302"/>
      <c r="B103" s="305"/>
      <c r="C103" s="309"/>
      <c r="D103" s="307"/>
      <c r="E103" s="300"/>
      <c r="F103" s="301"/>
      <c r="G103" s="301"/>
      <c r="H103" s="299"/>
      <c r="I103" s="300"/>
      <c r="J103" s="299"/>
      <c r="K103" s="298"/>
      <c r="L103" s="297"/>
      <c r="M103" s="296"/>
    </row>
    <row r="104" spans="1:13" s="295" customFormat="1">
      <c r="A104" s="302"/>
      <c r="B104" s="305"/>
      <c r="C104" s="309"/>
      <c r="D104" s="307"/>
      <c r="E104" s="300"/>
      <c r="F104" s="301"/>
      <c r="G104" s="301"/>
      <c r="H104" s="299"/>
      <c r="I104" s="300"/>
      <c r="J104" s="299"/>
      <c r="K104" s="298"/>
      <c r="L104" s="297"/>
      <c r="M104" s="296"/>
    </row>
    <row r="105" spans="1:13" s="295" customFormat="1">
      <c r="A105" s="302"/>
      <c r="B105" s="305"/>
      <c r="D105" s="307"/>
      <c r="E105" s="300"/>
      <c r="F105" s="301"/>
      <c r="G105" s="301"/>
      <c r="H105" s="299"/>
      <c r="I105" s="300"/>
      <c r="J105" s="299"/>
      <c r="K105" s="298"/>
      <c r="L105" s="297"/>
      <c r="M105" s="296"/>
    </row>
    <row r="106" spans="1:13" s="295" customFormat="1">
      <c r="A106" s="302"/>
      <c r="B106" s="305"/>
      <c r="D106" s="307"/>
      <c r="E106" s="300"/>
      <c r="F106" s="301"/>
      <c r="G106" s="301"/>
      <c r="H106" s="299"/>
      <c r="I106" s="300"/>
      <c r="J106" s="299"/>
      <c r="K106" s="298"/>
      <c r="L106" s="297"/>
      <c r="M106" s="296"/>
    </row>
    <row r="107" spans="1:13" s="295" customFormat="1">
      <c r="A107" s="302"/>
      <c r="B107" s="305"/>
      <c r="D107" s="307"/>
      <c r="E107" s="300"/>
      <c r="F107" s="301"/>
      <c r="G107" s="301"/>
      <c r="H107" s="299"/>
      <c r="I107" s="300"/>
      <c r="J107" s="299"/>
      <c r="K107" s="298"/>
      <c r="L107" s="297"/>
      <c r="M107" s="296"/>
    </row>
    <row r="108" spans="1:13" s="295" customFormat="1">
      <c r="A108" s="302"/>
      <c r="B108" s="305"/>
      <c r="D108" s="302"/>
      <c r="E108" s="308"/>
      <c r="F108" s="301"/>
      <c r="G108" s="301"/>
      <c r="H108" s="299"/>
      <c r="I108" s="300"/>
      <c r="J108" s="299"/>
      <c r="K108" s="298"/>
      <c r="L108" s="297"/>
      <c r="M108" s="296"/>
    </row>
    <row r="109" spans="1:13" s="295" customFormat="1">
      <c r="A109" s="302"/>
      <c r="B109" s="305"/>
      <c r="D109" s="307"/>
      <c r="E109" s="300"/>
      <c r="F109" s="301"/>
      <c r="G109" s="301"/>
      <c r="H109" s="299"/>
      <c r="I109" s="300"/>
      <c r="J109" s="299"/>
      <c r="K109" s="298"/>
      <c r="L109" s="297"/>
      <c r="M109" s="296"/>
    </row>
    <row r="110" spans="1:13" s="295" customFormat="1">
      <c r="A110" s="302"/>
      <c r="B110" s="305"/>
      <c r="D110" s="307"/>
      <c r="E110" s="300"/>
      <c r="F110" s="301"/>
      <c r="G110" s="301"/>
      <c r="H110" s="299"/>
      <c r="I110" s="300"/>
      <c r="J110" s="299"/>
      <c r="K110" s="298"/>
      <c r="L110" s="297"/>
      <c r="M110" s="296"/>
    </row>
    <row r="111" spans="1:13" s="295" customFormat="1">
      <c r="A111" s="302"/>
      <c r="B111" s="305"/>
      <c r="D111" s="306"/>
      <c r="E111" s="300"/>
      <c r="F111" s="301"/>
      <c r="G111" s="301"/>
      <c r="H111" s="299"/>
      <c r="I111" s="300"/>
      <c r="J111" s="299"/>
      <c r="K111" s="298"/>
      <c r="L111" s="297"/>
      <c r="M111" s="296"/>
    </row>
    <row r="112" spans="1:13" s="295" customFormat="1">
      <c r="A112" s="302"/>
      <c r="B112" s="305"/>
      <c r="D112" s="302"/>
      <c r="E112" s="300"/>
      <c r="F112" s="301"/>
      <c r="G112" s="301"/>
      <c r="H112" s="299"/>
      <c r="I112" s="300"/>
      <c r="J112" s="299"/>
      <c r="K112" s="298"/>
      <c r="L112" s="297"/>
      <c r="M112" s="296"/>
    </row>
    <row r="113" spans="1:13" s="295" customFormat="1">
      <c r="A113" s="302"/>
      <c r="B113" s="305"/>
      <c r="D113" s="302"/>
      <c r="E113" s="300"/>
      <c r="F113" s="301"/>
      <c r="G113" s="301"/>
      <c r="H113" s="299"/>
      <c r="I113" s="300"/>
      <c r="J113" s="299"/>
      <c r="K113" s="298"/>
      <c r="L113" s="297"/>
      <c r="M113" s="296"/>
    </row>
    <row r="114" spans="1:13" s="295" customFormat="1">
      <c r="A114" s="302"/>
      <c r="B114" s="305"/>
      <c r="D114" s="302"/>
      <c r="E114" s="300"/>
      <c r="F114" s="301"/>
      <c r="G114" s="301"/>
      <c r="H114" s="299"/>
      <c r="I114" s="300"/>
      <c r="J114" s="299"/>
      <c r="K114" s="298"/>
      <c r="L114" s="297"/>
      <c r="M114" s="296"/>
    </row>
    <row r="115" spans="1:13" s="295" customFormat="1" ht="10.199999999999999">
      <c r="A115" s="302"/>
      <c r="B115" s="302"/>
      <c r="D115" s="302"/>
      <c r="E115" s="300"/>
      <c r="F115" s="301"/>
      <c r="G115" s="301"/>
      <c r="H115" s="299"/>
      <c r="I115" s="300"/>
      <c r="J115" s="299"/>
      <c r="K115" s="298"/>
      <c r="L115" s="297"/>
      <c r="M115" s="296"/>
    </row>
    <row r="116" spans="1:13" s="295" customFormat="1" ht="10.199999999999999">
      <c r="A116" s="302"/>
      <c r="B116" s="302"/>
      <c r="C116" s="304"/>
      <c r="D116" s="302"/>
      <c r="E116" s="300"/>
      <c r="F116" s="301"/>
      <c r="G116" s="301"/>
      <c r="H116" s="299"/>
      <c r="I116" s="300"/>
      <c r="J116" s="299"/>
      <c r="K116" s="298"/>
      <c r="L116" s="297"/>
      <c r="M116" s="296"/>
    </row>
    <row r="117" spans="1:13" s="295" customFormat="1" ht="10.199999999999999">
      <c r="A117" s="302"/>
      <c r="B117" s="302"/>
      <c r="D117" s="302"/>
      <c r="E117" s="300"/>
      <c r="F117" s="301"/>
      <c r="G117" s="301"/>
      <c r="H117" s="299"/>
      <c r="I117" s="300"/>
      <c r="J117" s="299"/>
      <c r="K117" s="298"/>
      <c r="L117" s="297"/>
      <c r="M117" s="296"/>
    </row>
    <row r="118" spans="1:13" s="295" customFormat="1" ht="10.199999999999999">
      <c r="A118" s="302"/>
      <c r="B118" s="302"/>
      <c r="D118" s="302"/>
      <c r="E118" s="300"/>
      <c r="F118" s="301"/>
      <c r="G118" s="301"/>
      <c r="H118" s="299"/>
      <c r="I118" s="300"/>
      <c r="J118" s="299"/>
      <c r="K118" s="298"/>
      <c r="L118" s="297"/>
      <c r="M118" s="296"/>
    </row>
    <row r="119" spans="1:13" s="295" customFormat="1" ht="10.199999999999999">
      <c r="A119" s="302"/>
      <c r="B119" s="302"/>
      <c r="C119" s="303"/>
      <c r="D119" s="302"/>
      <c r="E119" s="300"/>
      <c r="F119" s="301"/>
      <c r="G119" s="301"/>
      <c r="H119" s="299"/>
      <c r="I119" s="300"/>
      <c r="J119" s="299"/>
      <c r="K119" s="298"/>
      <c r="L119" s="297"/>
      <c r="M119" s="296"/>
    </row>
    <row r="120" spans="1:13" s="295" customFormat="1" ht="10.199999999999999">
      <c r="A120" s="302"/>
      <c r="B120" s="302"/>
      <c r="C120" s="303"/>
      <c r="D120" s="302"/>
      <c r="E120" s="300"/>
      <c r="F120" s="301"/>
      <c r="G120" s="301"/>
      <c r="H120" s="299"/>
      <c r="I120" s="300"/>
      <c r="J120" s="299"/>
      <c r="K120" s="298"/>
      <c r="L120" s="297"/>
      <c r="M120" s="296"/>
    </row>
    <row r="121" spans="1:13" s="295" customFormat="1" ht="10.199999999999999">
      <c r="A121" s="302"/>
      <c r="B121" s="302"/>
      <c r="D121" s="302"/>
      <c r="E121" s="300"/>
      <c r="F121" s="301"/>
      <c r="G121" s="301"/>
      <c r="H121" s="299"/>
      <c r="I121" s="300"/>
      <c r="J121" s="299"/>
      <c r="K121" s="298"/>
      <c r="L121" s="297"/>
      <c r="M121" s="296"/>
    </row>
    <row r="122" spans="1:13" s="290" customFormat="1" ht="10.199999999999999">
      <c r="B122" s="294"/>
      <c r="G122" s="293"/>
      <c r="I122" s="292"/>
      <c r="K122" s="291"/>
    </row>
  </sheetData>
  <mergeCells count="2">
    <mergeCell ref="A1:G1"/>
    <mergeCell ref="A2:G2"/>
  </mergeCells>
  <printOptions horizontalCentered="1"/>
  <pageMargins left="0.39370078740157483" right="0.39370078740157483" top="0.78740157480314965" bottom="0.39370078740157483" header="0" footer="0"/>
  <pageSetup paperSize="9" scale="83" fitToHeight="99" orientation="portrait" r:id="rId1"/>
  <headerFooter alignWithMargins="0"/>
  <rowBreaks count="3" manualBreakCount="3">
    <brk id="29" max="6" man="1"/>
    <brk id="52" max="6" man="1"/>
    <brk id="7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25</vt:i4>
      </vt:variant>
    </vt:vector>
  </HeadingPairs>
  <TitlesOfParts>
    <vt:vector size="31" baseType="lpstr">
      <vt:lpstr>KL</vt:lpstr>
      <vt:lpstr>OBJEKT 1</vt:lpstr>
      <vt:lpstr>OBJEKT 2</vt:lpstr>
      <vt:lpstr>OBJEKT 3</vt:lpstr>
      <vt:lpstr>OBJEKT 4</vt:lpstr>
      <vt:lpstr>PROPOČET - OST. NÁKLADY</vt:lpstr>
      <vt:lpstr>KL!CelkemObjekty</vt:lpstr>
      <vt:lpstr>KL!dadresa</vt:lpstr>
      <vt:lpstr>KL!DIČ</vt:lpstr>
      <vt:lpstr>KL!IČO</vt:lpstr>
      <vt:lpstr>KL!NazevObjektu</vt:lpstr>
      <vt:lpstr>KL!NazevStavby</vt:lpstr>
      <vt:lpstr>KL!Objednatel</vt:lpstr>
      <vt:lpstr>KL!Objekt</vt:lpstr>
      <vt:lpstr>KL!Oblast_tisku</vt:lpstr>
      <vt:lpstr>'OBJEKT 1'!Oblast_tisku</vt:lpstr>
      <vt:lpstr>'OBJEKT 2'!Oblast_tisku</vt:lpstr>
      <vt:lpstr>'OBJEKT 3'!Oblast_tisku</vt:lpstr>
      <vt:lpstr>'OBJEKT 4'!Oblast_tisku</vt:lpstr>
      <vt:lpstr>'PROPOČET - OST. NÁKLADY'!Oblast_tisku</vt:lpstr>
      <vt:lpstr>KL!oico</vt:lpstr>
      <vt:lpstr>KL!Print_Area</vt:lpstr>
      <vt:lpstr>'OBJEKT 1'!Print_Area</vt:lpstr>
      <vt:lpstr>'OBJEKT 2'!Print_Area</vt:lpstr>
      <vt:lpstr>'OBJEKT 3'!Print_Area</vt:lpstr>
      <vt:lpstr>'OBJEKT 4'!Print_Area</vt:lpstr>
      <vt:lpstr>'PROPOČET - OST. NÁKLADY'!Print_Area</vt:lpstr>
      <vt:lpstr>KL!SazbaDPH1</vt:lpstr>
      <vt:lpstr>KL!SazbaDPH2</vt:lpstr>
      <vt:lpstr>KL!StavbaCelkem</vt:lpstr>
      <vt:lpstr>KL!Zhotovitel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Kudlik Matej</dc:creator>
  <cp:lastModifiedBy>Friedl Libor Ing.</cp:lastModifiedBy>
  <cp:lastPrinted>2023-12-18T08:00:54Z</cp:lastPrinted>
  <dcterms:created xsi:type="dcterms:W3CDTF">2013-10-14T10:08:08Z</dcterms:created>
  <dcterms:modified xsi:type="dcterms:W3CDTF">2024-01-12T11:07:22Z</dcterms:modified>
</cp:coreProperties>
</file>